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shish Jangra\Desktop\"/>
    </mc:Choice>
  </mc:AlternateContent>
  <xr:revisionPtr revIDLastSave="0" documentId="13_ncr:1_{CADBE95D-7489-4750-BC27-963F6BF4CF08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Readme" sheetId="1" r:id="rId1"/>
    <sheet name="Summary" sheetId="7" r:id="rId2"/>
    <sheet name="Valuation" sheetId="8" r:id="rId3"/>
    <sheet name="Assumptions" sheetId="2" r:id="rId4"/>
    <sheet name="Income Statement" sheetId="3" r:id="rId5"/>
    <sheet name="Cash Flow Statement" sheetId="4" r:id="rId6"/>
    <sheet name="Balance Sheet" sheetId="5" r:id="rId7"/>
    <sheet name="Supporting schedule" sheetId="9" r:id="rId8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7" l="1"/>
  <c r="J11" i="7"/>
  <c r="K11" i="7"/>
  <c r="L11" i="7"/>
  <c r="F52" i="8"/>
  <c r="F51" i="8"/>
  <c r="E53" i="8"/>
  <c r="D53" i="8"/>
  <c r="D39" i="8"/>
  <c r="D37" i="8"/>
  <c r="D36" i="8"/>
  <c r="D20" i="8"/>
  <c r="F11" i="8"/>
  <c r="G11" i="8"/>
  <c r="H11" i="8"/>
  <c r="E11" i="8"/>
  <c r="E47" i="7"/>
  <c r="E10" i="7"/>
  <c r="E48" i="7" s="1"/>
  <c r="E9" i="7"/>
  <c r="E8" i="7"/>
  <c r="G7" i="7"/>
  <c r="H7" i="7"/>
  <c r="F7" i="7"/>
  <c r="F6" i="7"/>
  <c r="G6" i="7"/>
  <c r="H6" i="7"/>
  <c r="E6" i="7"/>
  <c r="F46" i="7"/>
  <c r="G46" i="7"/>
  <c r="H46" i="7"/>
  <c r="E46" i="7"/>
  <c r="E45" i="7"/>
  <c r="E44" i="7"/>
  <c r="E43" i="7"/>
  <c r="F53" i="8" l="1"/>
  <c r="E33" i="4"/>
  <c r="E44" i="4"/>
  <c r="F27" i="2"/>
  <c r="G27" i="2"/>
  <c r="H27" i="2"/>
  <c r="E27" i="2"/>
  <c r="J25" i="2"/>
  <c r="K25" i="2"/>
  <c r="L25" i="2"/>
  <c r="I25" i="2"/>
  <c r="F26" i="2"/>
  <c r="G26" i="2"/>
  <c r="H26" i="2"/>
  <c r="E26" i="2"/>
  <c r="F25" i="2"/>
  <c r="G25" i="2"/>
  <c r="H25" i="2"/>
  <c r="E25" i="2"/>
  <c r="J11" i="4"/>
  <c r="K11" i="4"/>
  <c r="L11" i="4"/>
  <c r="I11" i="4"/>
  <c r="H19" i="5"/>
  <c r="F24" i="2"/>
  <c r="G24" i="2"/>
  <c r="H24" i="2"/>
  <c r="E24" i="2"/>
  <c r="F23" i="2"/>
  <c r="G23" i="2"/>
  <c r="H23" i="2"/>
  <c r="E23" i="2"/>
  <c r="I34" i="5"/>
  <c r="J34" i="5" s="1"/>
  <c r="K34" i="5" s="1"/>
  <c r="L34" i="5" s="1"/>
  <c r="I30" i="5"/>
  <c r="G22" i="2"/>
  <c r="H22" i="2"/>
  <c r="F22" i="2"/>
  <c r="F21" i="2"/>
  <c r="G21" i="2"/>
  <c r="H21" i="2"/>
  <c r="E21" i="2"/>
  <c r="I38" i="4"/>
  <c r="I8" i="9" s="1"/>
  <c r="F20" i="2"/>
  <c r="G20" i="2"/>
  <c r="H20" i="2"/>
  <c r="E20" i="2"/>
  <c r="G19" i="2"/>
  <c r="H19" i="2"/>
  <c r="F19" i="2"/>
  <c r="F18" i="2"/>
  <c r="G18" i="2"/>
  <c r="H18" i="2"/>
  <c r="E18" i="2"/>
  <c r="F17" i="2"/>
  <c r="G17" i="2"/>
  <c r="H17" i="2"/>
  <c r="E17" i="2"/>
  <c r="I28" i="5"/>
  <c r="J28" i="5" s="1"/>
  <c r="K28" i="5" s="1"/>
  <c r="L28" i="5" s="1"/>
  <c r="L21" i="4" s="1"/>
  <c r="I14" i="5"/>
  <c r="J14" i="5" s="1"/>
  <c r="K14" i="5" s="1"/>
  <c r="L14" i="5" s="1"/>
  <c r="E8" i="9"/>
  <c r="E7" i="9"/>
  <c r="G8" i="9"/>
  <c r="H8" i="9"/>
  <c r="F8" i="9"/>
  <c r="G7" i="9"/>
  <c r="H7" i="9"/>
  <c r="F7" i="9"/>
  <c r="E10" i="9"/>
  <c r="F6" i="9" s="1"/>
  <c r="F44" i="4"/>
  <c r="G44" i="4"/>
  <c r="H44" i="4"/>
  <c r="J28" i="4"/>
  <c r="J39" i="4" s="1"/>
  <c r="K38" i="4" s="1"/>
  <c r="K8" i="9" s="1"/>
  <c r="K28" i="4"/>
  <c r="K39" i="4" s="1"/>
  <c r="L28" i="4"/>
  <c r="L39" i="4" s="1"/>
  <c r="L7" i="9" s="1"/>
  <c r="I28" i="4"/>
  <c r="I39" i="4" s="1"/>
  <c r="F13" i="2"/>
  <c r="F11" i="7" s="1"/>
  <c r="G13" i="2"/>
  <c r="G11" i="7" s="1"/>
  <c r="H13" i="2"/>
  <c r="H11" i="7" s="1"/>
  <c r="E13" i="2"/>
  <c r="E11" i="7" s="1"/>
  <c r="F12" i="2"/>
  <c r="G12" i="2"/>
  <c r="H12" i="2"/>
  <c r="E12" i="2"/>
  <c r="F11" i="2"/>
  <c r="G11" i="2"/>
  <c r="H11" i="2"/>
  <c r="E11" i="2"/>
  <c r="F10" i="2"/>
  <c r="G10" i="2"/>
  <c r="H10" i="2"/>
  <c r="E10" i="2"/>
  <c r="F16" i="2"/>
  <c r="G16" i="2"/>
  <c r="H16" i="2"/>
  <c r="E16" i="2"/>
  <c r="E15" i="2"/>
  <c r="F15" i="2"/>
  <c r="G15" i="2"/>
  <c r="H15" i="2"/>
  <c r="F14" i="2"/>
  <c r="G14" i="2"/>
  <c r="H14" i="2"/>
  <c r="E14" i="2"/>
  <c r="I5" i="3"/>
  <c r="F7" i="2"/>
  <c r="G7" i="2"/>
  <c r="H7" i="2"/>
  <c r="E7" i="2"/>
  <c r="G6" i="2"/>
  <c r="H6" i="2"/>
  <c r="F6" i="2"/>
  <c r="F38" i="5"/>
  <c r="F19" i="5"/>
  <c r="G19" i="5"/>
  <c r="E19" i="5"/>
  <c r="F44" i="5"/>
  <c r="G44" i="5"/>
  <c r="H44" i="5"/>
  <c r="E44" i="5"/>
  <c r="G38" i="5"/>
  <c r="H38" i="5"/>
  <c r="E38" i="5"/>
  <c r="E46" i="5" s="1"/>
  <c r="F33" i="4"/>
  <c r="G33" i="4"/>
  <c r="H33" i="4"/>
  <c r="F8" i="4"/>
  <c r="F8" i="2" s="1"/>
  <c r="G8" i="4"/>
  <c r="G8" i="2" s="1"/>
  <c r="H8" i="4"/>
  <c r="H8" i="2" s="1"/>
  <c r="E8" i="4"/>
  <c r="E28" i="2" s="1"/>
  <c r="E7" i="3"/>
  <c r="E12" i="3" s="1"/>
  <c r="E17" i="3" s="1"/>
  <c r="F7" i="3"/>
  <c r="G7" i="3"/>
  <c r="H7" i="3"/>
  <c r="E9" i="9" l="1"/>
  <c r="H12" i="3"/>
  <c r="H17" i="3" s="1"/>
  <c r="H24" i="3" s="1"/>
  <c r="H43" i="7"/>
  <c r="G12" i="3"/>
  <c r="G17" i="3" s="1"/>
  <c r="G43" i="7"/>
  <c r="F12" i="3"/>
  <c r="F17" i="3" s="1"/>
  <c r="F20" i="3" s="1"/>
  <c r="F43" i="7"/>
  <c r="I11" i="3"/>
  <c r="I6" i="7"/>
  <c r="I7" i="7"/>
  <c r="M24" i="2"/>
  <c r="I7" i="5"/>
  <c r="I20" i="4" s="1"/>
  <c r="I17" i="4"/>
  <c r="M26" i="2"/>
  <c r="E20" i="3"/>
  <c r="E6" i="4" s="1"/>
  <c r="E23" i="4" s="1"/>
  <c r="E9" i="2"/>
  <c r="I31" i="5"/>
  <c r="I19" i="4" s="1"/>
  <c r="G28" i="2"/>
  <c r="F28" i="2"/>
  <c r="E47" i="4"/>
  <c r="E49" i="4" s="1"/>
  <c r="M25" i="2"/>
  <c r="I29" i="4"/>
  <c r="I33" i="4" s="1"/>
  <c r="F46" i="5"/>
  <c r="I21" i="4"/>
  <c r="H46" i="5"/>
  <c r="M23" i="2"/>
  <c r="G46" i="5"/>
  <c r="M22" i="2"/>
  <c r="K21" i="4"/>
  <c r="H3" i="5"/>
  <c r="J21" i="4"/>
  <c r="J35" i="5"/>
  <c r="K35" i="5"/>
  <c r="F9" i="9"/>
  <c r="F10" i="9" s="1"/>
  <c r="G6" i="9" s="1"/>
  <c r="M21" i="2"/>
  <c r="E8" i="2"/>
  <c r="M8" i="2" s="1"/>
  <c r="K44" i="4"/>
  <c r="I35" i="5"/>
  <c r="L35" i="5"/>
  <c r="I44" i="4"/>
  <c r="H28" i="2"/>
  <c r="M19" i="2"/>
  <c r="M17" i="2"/>
  <c r="M20" i="2"/>
  <c r="M11" i="2"/>
  <c r="M18" i="2"/>
  <c r="M16" i="2"/>
  <c r="M12" i="2"/>
  <c r="J38" i="4"/>
  <c r="I37" i="5"/>
  <c r="J37" i="5" s="1"/>
  <c r="K37" i="5" s="1"/>
  <c r="L37" i="5" s="1"/>
  <c r="I7" i="9"/>
  <c r="L38" i="4"/>
  <c r="K7" i="9"/>
  <c r="M10" i="2"/>
  <c r="M14" i="2"/>
  <c r="J7" i="9"/>
  <c r="I8" i="5"/>
  <c r="I46" i="7" s="1"/>
  <c r="I41" i="5"/>
  <c r="I9" i="4" s="1"/>
  <c r="G3" i="5"/>
  <c r="J23" i="3"/>
  <c r="I23" i="3"/>
  <c r="E3" i="5"/>
  <c r="M15" i="2"/>
  <c r="I10" i="3"/>
  <c r="I6" i="3"/>
  <c r="I36" i="5" s="1"/>
  <c r="J30" i="5" s="1"/>
  <c r="G20" i="3"/>
  <c r="G9" i="2"/>
  <c r="J5" i="3"/>
  <c r="M6" i="2"/>
  <c r="M7" i="2"/>
  <c r="F3" i="5"/>
  <c r="G24" i="3"/>
  <c r="F24" i="3"/>
  <c r="E24" i="3"/>
  <c r="E26" i="3" s="1"/>
  <c r="E30" i="3"/>
  <c r="E29" i="3"/>
  <c r="J8" i="4" l="1"/>
  <c r="J10" i="4" s="1"/>
  <c r="F10" i="8"/>
  <c r="I8" i="4"/>
  <c r="I10" i="4" s="1"/>
  <c r="E10" i="8"/>
  <c r="F9" i="2"/>
  <c r="H9" i="2"/>
  <c r="M9" i="2" s="1"/>
  <c r="H20" i="3"/>
  <c r="M28" i="2"/>
  <c r="G6" i="4"/>
  <c r="G23" i="4" s="1"/>
  <c r="G8" i="7"/>
  <c r="G45" i="7"/>
  <c r="F6" i="4"/>
  <c r="F23" i="4" s="1"/>
  <c r="F8" i="7"/>
  <c r="F45" i="7"/>
  <c r="J6" i="7"/>
  <c r="J7" i="7"/>
  <c r="F26" i="3"/>
  <c r="F44" i="7"/>
  <c r="H6" i="4"/>
  <c r="H23" i="4" s="1"/>
  <c r="H8" i="7"/>
  <c r="H45" i="7"/>
  <c r="G26" i="3"/>
  <c r="G44" i="7"/>
  <c r="H26" i="3"/>
  <c r="H44" i="7"/>
  <c r="J29" i="4"/>
  <c r="J33" i="4" s="1"/>
  <c r="J17" i="4"/>
  <c r="J31" i="5"/>
  <c r="J19" i="4" s="1"/>
  <c r="J7" i="5"/>
  <c r="F30" i="3"/>
  <c r="I16" i="4"/>
  <c r="L8" i="9"/>
  <c r="L44" i="4"/>
  <c r="J8" i="9"/>
  <c r="J44" i="4"/>
  <c r="F29" i="3"/>
  <c r="I7" i="3"/>
  <c r="I25" i="5"/>
  <c r="I18" i="4" s="1"/>
  <c r="J8" i="5"/>
  <c r="J46" i="7" s="1"/>
  <c r="J41" i="5"/>
  <c r="J9" i="4" s="1"/>
  <c r="H29" i="3"/>
  <c r="H30" i="3"/>
  <c r="L23" i="3"/>
  <c r="K23" i="3"/>
  <c r="J10" i="3"/>
  <c r="J6" i="3"/>
  <c r="J11" i="3"/>
  <c r="K5" i="3"/>
  <c r="G29" i="3"/>
  <c r="G30" i="3"/>
  <c r="K8" i="4" l="1"/>
  <c r="K10" i="4" s="1"/>
  <c r="G10" i="8"/>
  <c r="L8" i="4"/>
  <c r="L10" i="4" s="1"/>
  <c r="H10" i="8"/>
  <c r="E12" i="8"/>
  <c r="I12" i="3"/>
  <c r="I43" i="7"/>
  <c r="H47" i="4"/>
  <c r="H49" i="4" s="1"/>
  <c r="H9" i="7"/>
  <c r="H10" i="7"/>
  <c r="H48" i="7" s="1"/>
  <c r="K7" i="7"/>
  <c r="K6" i="7"/>
  <c r="F47" i="4"/>
  <c r="F49" i="4" s="1"/>
  <c r="F47" i="7" s="1"/>
  <c r="F9" i="7"/>
  <c r="F10" i="7"/>
  <c r="F48" i="7" s="1"/>
  <c r="G47" i="4"/>
  <c r="G49" i="4" s="1"/>
  <c r="G47" i="7" s="1"/>
  <c r="G9" i="7"/>
  <c r="G10" i="7"/>
  <c r="G48" i="7" s="1"/>
  <c r="K31" i="5"/>
  <c r="K19" i="4" s="1"/>
  <c r="K29" i="4"/>
  <c r="K33" i="4" s="1"/>
  <c r="K7" i="5"/>
  <c r="K20" i="4" s="1"/>
  <c r="K17" i="4"/>
  <c r="J25" i="5"/>
  <c r="J18" i="4" s="1"/>
  <c r="J36" i="5"/>
  <c r="K30" i="5" s="1"/>
  <c r="J20" i="4"/>
  <c r="J16" i="4"/>
  <c r="K8" i="5"/>
  <c r="K41" i="5"/>
  <c r="K9" i="4" s="1"/>
  <c r="J7" i="3"/>
  <c r="K6" i="3"/>
  <c r="K36" i="5" s="1"/>
  <c r="L30" i="5" s="1"/>
  <c r="K10" i="3"/>
  <c r="K11" i="3"/>
  <c r="L5" i="3"/>
  <c r="F12" i="8" l="1"/>
  <c r="K16" i="4"/>
  <c r="K46" i="7"/>
  <c r="L7" i="7"/>
  <c r="L6" i="7"/>
  <c r="I46" i="4"/>
  <c r="H47" i="7"/>
  <c r="J12" i="3"/>
  <c r="J43" i="7"/>
  <c r="L31" i="5"/>
  <c r="L19" i="4" s="1"/>
  <c r="L7" i="5"/>
  <c r="L20" i="4" s="1"/>
  <c r="L29" i="4"/>
  <c r="L33" i="4" s="1"/>
  <c r="L17" i="4"/>
  <c r="K7" i="3"/>
  <c r="K25" i="5"/>
  <c r="K18" i="4" s="1"/>
  <c r="L41" i="5"/>
  <c r="L9" i="4" s="1"/>
  <c r="L8" i="5"/>
  <c r="L11" i="3"/>
  <c r="L10" i="3"/>
  <c r="L6" i="3"/>
  <c r="L36" i="5" s="1"/>
  <c r="G12" i="8" l="1"/>
  <c r="L16" i="4"/>
  <c r="L46" i="7"/>
  <c r="K12" i="3"/>
  <c r="K43" i="7"/>
  <c r="L7" i="3"/>
  <c r="L25" i="5"/>
  <c r="L18" i="4" s="1"/>
  <c r="G9" i="9"/>
  <c r="G10" i="9" s="1"/>
  <c r="H6" i="9" s="1"/>
  <c r="H12" i="8" l="1"/>
  <c r="L12" i="3"/>
  <c r="L43" i="7"/>
  <c r="H9" i="9"/>
  <c r="H10" i="9" s="1"/>
  <c r="I6" i="9" s="1"/>
  <c r="I9" i="9" s="1"/>
  <c r="I10" i="9" s="1"/>
  <c r="J6" i="9" s="1"/>
  <c r="J9" i="9" s="1"/>
  <c r="I22" i="3"/>
  <c r="J22" i="3"/>
  <c r="K22" i="3"/>
  <c r="L22" i="3"/>
  <c r="J10" i="9" l="1"/>
  <c r="K6" i="9" s="1"/>
  <c r="K9" i="9" s="1"/>
  <c r="K10" i="9" s="1"/>
  <c r="L6" i="9" s="1"/>
  <c r="L9" i="9" l="1"/>
  <c r="L10" i="9" s="1"/>
  <c r="I3" i="5"/>
  <c r="J3" i="5"/>
  <c r="K3" i="5"/>
  <c r="L3" i="5"/>
  <c r="I10" i="5"/>
  <c r="J10" i="5"/>
  <c r="K10" i="5"/>
  <c r="L10" i="5"/>
  <c r="I19" i="5"/>
  <c r="J19" i="5"/>
  <c r="K19" i="5"/>
  <c r="L19" i="5"/>
  <c r="I26" i="5"/>
  <c r="J26" i="5"/>
  <c r="K26" i="5"/>
  <c r="L26" i="5"/>
  <c r="I38" i="5"/>
  <c r="J38" i="5"/>
  <c r="K38" i="5"/>
  <c r="L38" i="5"/>
  <c r="I42" i="5"/>
  <c r="J42" i="5"/>
  <c r="K42" i="5"/>
  <c r="L42" i="5"/>
  <c r="I44" i="5"/>
  <c r="J44" i="5"/>
  <c r="K44" i="5"/>
  <c r="L44" i="5"/>
  <c r="I46" i="5"/>
  <c r="J46" i="5"/>
  <c r="K46" i="5"/>
  <c r="L46" i="5"/>
  <c r="I6" i="4"/>
  <c r="J6" i="4"/>
  <c r="K6" i="4"/>
  <c r="L6" i="4"/>
  <c r="I23" i="4"/>
  <c r="J23" i="4"/>
  <c r="K23" i="4"/>
  <c r="L23" i="4"/>
  <c r="J46" i="4"/>
  <c r="K46" i="4"/>
  <c r="L46" i="4"/>
  <c r="I47" i="4"/>
  <c r="J47" i="4"/>
  <c r="K47" i="4"/>
  <c r="L47" i="4"/>
  <c r="I49" i="4"/>
  <c r="J49" i="4"/>
  <c r="K49" i="4"/>
  <c r="L49" i="4"/>
  <c r="I15" i="3"/>
  <c r="J15" i="3"/>
  <c r="K15" i="3"/>
  <c r="L15" i="3"/>
  <c r="I17" i="3"/>
  <c r="J17" i="3"/>
  <c r="K17" i="3"/>
  <c r="L17" i="3"/>
  <c r="I19" i="3"/>
  <c r="J19" i="3"/>
  <c r="K19" i="3"/>
  <c r="L19" i="3"/>
  <c r="I20" i="3"/>
  <c r="J20" i="3"/>
  <c r="K20" i="3"/>
  <c r="L20" i="3"/>
  <c r="I24" i="3"/>
  <c r="J24" i="3"/>
  <c r="K24" i="3"/>
  <c r="L24" i="3"/>
  <c r="I26" i="3"/>
  <c r="J26" i="3"/>
  <c r="K26" i="3"/>
  <c r="L26" i="3"/>
  <c r="I29" i="3"/>
  <c r="J29" i="3"/>
  <c r="K29" i="3"/>
  <c r="L29" i="3"/>
  <c r="I30" i="3"/>
  <c r="J30" i="3"/>
  <c r="K30" i="3"/>
  <c r="L30" i="3"/>
  <c r="I8" i="7"/>
  <c r="J8" i="7"/>
  <c r="K8" i="7"/>
  <c r="L8" i="7"/>
  <c r="I9" i="7"/>
  <c r="J9" i="7"/>
  <c r="K9" i="7"/>
  <c r="L9" i="7"/>
  <c r="I10" i="7"/>
  <c r="J10" i="7"/>
  <c r="K10" i="7"/>
  <c r="L10" i="7"/>
  <c r="I44" i="7"/>
  <c r="J44" i="7"/>
  <c r="K44" i="7"/>
  <c r="L44" i="7"/>
  <c r="I45" i="7"/>
  <c r="J45" i="7"/>
  <c r="K45" i="7"/>
  <c r="L45" i="7"/>
  <c r="I47" i="7"/>
  <c r="J47" i="7"/>
  <c r="K47" i="7"/>
  <c r="L47" i="7"/>
  <c r="I48" i="7"/>
  <c r="J48" i="7"/>
  <c r="K48" i="7"/>
  <c r="L48" i="7"/>
  <c r="E6" i="8"/>
  <c r="F6" i="8"/>
  <c r="G6" i="8"/>
  <c r="H6" i="8"/>
  <c r="E7" i="8"/>
  <c r="F7" i="8"/>
  <c r="G7" i="8"/>
  <c r="H7" i="8"/>
  <c r="E8" i="8"/>
  <c r="F8" i="8"/>
  <c r="G8" i="8"/>
  <c r="H8" i="8"/>
  <c r="E13" i="8"/>
  <c r="F13" i="8"/>
  <c r="G13" i="8"/>
  <c r="H13" i="8"/>
  <c r="D27" i="8"/>
  <c r="D29" i="8"/>
  <c r="D30" i="8"/>
  <c r="D31" i="8"/>
  <c r="D35" i="8"/>
  <c r="D38" i="8"/>
  <c r="D40" i="8"/>
  <c r="C4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Ashish Jangra</author>
  </authors>
  <commentList>
    <comment ref="I13" authorId="0" shapeId="0" xr:uid="{D6BBD0AD-E4DD-4FFC-AB00-38A818B482B4}">
      <text>
        <r>
          <rPr>
            <b/>
            <sz val="9"/>
            <color indexed="81"/>
            <rFont val="Tahoma"/>
            <family val="2"/>
          </rPr>
          <t>Ashish Jangra:</t>
        </r>
        <r>
          <rPr>
            <sz val="9"/>
            <color indexed="81"/>
            <rFont val="Tahoma"/>
            <family val="2"/>
          </rPr>
          <t xml:space="preserve">
As per the press release META is expected to spend $115-135 billion in 2026.</t>
        </r>
      </text>
    </comment>
    <comment ref="C20" authorId="0" shapeId="0" xr:uid="{64FE05F8-3D42-43B9-9EED-101DA0C134F7}">
      <text>
        <r>
          <rPr>
            <b/>
            <sz val="9"/>
            <color indexed="81"/>
            <rFont val="Tahoma"/>
            <charset val="1"/>
          </rPr>
          <t>Ashish Jangra:</t>
        </r>
        <r>
          <rPr>
            <sz val="9"/>
            <color indexed="81"/>
            <rFont val="Tahoma"/>
            <charset val="1"/>
          </rPr>
          <t xml:space="preserve">
Even though the it is not a core business and uncertain transaction, META tends to accuire small scale businesses.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Ashish Jangra</author>
  </authors>
  <commentList>
    <comment ref="C10" authorId="0" shapeId="0" xr:uid="{7C77FB17-A9EB-4D98-9414-7A843457721C}">
      <text>
        <r>
          <rPr>
            <b/>
            <sz val="9"/>
            <color indexed="81"/>
            <rFont val="Tahoma"/>
            <family val="2"/>
          </rPr>
          <t>Ashish Jangra:</t>
        </r>
        <r>
          <rPr>
            <sz val="9"/>
            <color indexed="81"/>
            <rFont val="Tahoma"/>
            <family val="2"/>
          </rPr>
          <t xml:space="preserve">
Cash equivalent has been used as plug to balance out the future forcast of assets with liabilities.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Ashish Jangra</author>
  </authors>
  <commentList>
    <comment ref="C9" authorId="0" shapeId="0" xr:uid="{698BECF7-6148-44E7-9AEB-BDF0AF85D044}">
      <text>
        <r>
          <rPr>
            <b/>
            <sz val="9"/>
            <color indexed="81"/>
            <rFont val="Tahoma"/>
            <family val="2"/>
          </rPr>
          <t>Ashish Jangra:</t>
        </r>
        <r>
          <rPr>
            <sz val="9"/>
            <color indexed="81"/>
            <rFont val="Tahoma"/>
            <family val="2"/>
          </rPr>
          <t xml:space="preserve">
This plug has been added to This bridges the gap between the Cash Flow Statement and the Balance Sheet to ensure the model reflects the full liability profile.</t>
        </r>
      </text>
    </comment>
  </commentList>
</comments>
</file>

<file path=xl/sharedStrings.xml><?xml version="1.0" encoding="utf-8"?>
<sst xmlns="http://schemas.openxmlformats.org/spreadsheetml/2006/main" count="327" uniqueCount="271">
  <si>
    <t>Income Statement</t>
  </si>
  <si>
    <t>Historical data</t>
  </si>
  <si>
    <t>Forcast period</t>
  </si>
  <si>
    <t>Cash Flow Statement</t>
  </si>
  <si>
    <t>Balance Sheet</t>
  </si>
  <si>
    <t>Revenue</t>
  </si>
  <si>
    <t>Gross Profit</t>
  </si>
  <si>
    <t>Cost of revenue</t>
  </si>
  <si>
    <t>Selling General And Administration</t>
  </si>
  <si>
    <t>Research And Development</t>
  </si>
  <si>
    <t>Operating Expenses</t>
  </si>
  <si>
    <t>Operating Income</t>
  </si>
  <si>
    <t>Non-Operating income and expenses</t>
  </si>
  <si>
    <t>Gain On Sale Of Security</t>
  </si>
  <si>
    <t>Pretax Income</t>
  </si>
  <si>
    <t>Provision for tax</t>
  </si>
  <si>
    <t>Net Income</t>
  </si>
  <si>
    <t>EBITDA</t>
  </si>
  <si>
    <t>EBIT</t>
  </si>
  <si>
    <t>EPS</t>
  </si>
  <si>
    <t>Shares</t>
  </si>
  <si>
    <t>Diluted Average Shares</t>
  </si>
  <si>
    <t>Basic Average Shares</t>
  </si>
  <si>
    <t>Reconciled Depreciation</t>
  </si>
  <si>
    <t>Interest Expense</t>
  </si>
  <si>
    <t>Diluted EPS</t>
  </si>
  <si>
    <t>Basic EPS</t>
  </si>
  <si>
    <t>Operating Cash Flow</t>
  </si>
  <si>
    <t>Stock Based Compensation</t>
  </si>
  <si>
    <t>Deferred Income Tax</t>
  </si>
  <si>
    <t>Asset Impairment Charge</t>
  </si>
  <si>
    <t>Net cash adjustments</t>
  </si>
  <si>
    <t>Other Non Cash Items</t>
  </si>
  <si>
    <t>Change in working capital</t>
  </si>
  <si>
    <t>Changes In Account Receivables</t>
  </si>
  <si>
    <t>Change In Prepaid Assets</t>
  </si>
  <si>
    <t>Change In Account Payable</t>
  </si>
  <si>
    <t>Change In Other Current Liabilities</t>
  </si>
  <si>
    <t>Change In Other Current Assets</t>
  </si>
  <si>
    <t>Cash from operating Cash Flow</t>
  </si>
  <si>
    <t>Change In Accrued Expense</t>
  </si>
  <si>
    <t>Investing Cash Flow</t>
  </si>
  <si>
    <t>Net Other Investing Changes</t>
  </si>
  <si>
    <t>Net Investment Purchase And Sale</t>
  </si>
  <si>
    <t>Net Business Purchase And Sale</t>
  </si>
  <si>
    <t>Net PPE Purchase And Sale</t>
  </si>
  <si>
    <t>Cash Flow from Investing activites</t>
  </si>
  <si>
    <t>Financing Cash Flow</t>
  </si>
  <si>
    <t>Net Common Stock Issuance</t>
  </si>
  <si>
    <t>Cash Dividends Paid</t>
  </si>
  <si>
    <t>Net Other Financing Charges</t>
  </si>
  <si>
    <t>Cash Flow from Financing activities</t>
  </si>
  <si>
    <t>Cash and cash equivalent at the beginning of the period</t>
  </si>
  <si>
    <t>Net increase (decrease)</t>
  </si>
  <si>
    <t>Effect of exchange</t>
  </si>
  <si>
    <t>Cash and cash equivalent at the end of the period</t>
  </si>
  <si>
    <t>Assets</t>
  </si>
  <si>
    <t>Current Assets:</t>
  </si>
  <si>
    <t>Other Current Assets</t>
  </si>
  <si>
    <t>Accounts Receivable</t>
  </si>
  <si>
    <t>Other Short Term Investments</t>
  </si>
  <si>
    <t>Cash Equivalents</t>
  </si>
  <si>
    <t>Cash Financial</t>
  </si>
  <si>
    <t>Non-current Assets:</t>
  </si>
  <si>
    <t>Other Non Current Assets</t>
  </si>
  <si>
    <t>Investments And Advances</t>
  </si>
  <si>
    <t>Goodwill And Other Intangible Assets</t>
  </si>
  <si>
    <t>Net PPE</t>
  </si>
  <si>
    <t>Total Assets</t>
  </si>
  <si>
    <t>Current Liabilites</t>
  </si>
  <si>
    <t>Other Current Liabilities</t>
  </si>
  <si>
    <t>Current Capital Lease Obligation</t>
  </si>
  <si>
    <t>Current Accrued Expenses</t>
  </si>
  <si>
    <t>Total Tax Payable</t>
  </si>
  <si>
    <t>Accounts Payable</t>
  </si>
  <si>
    <t>Due to Related Parties Current</t>
  </si>
  <si>
    <t>Pension and Other Post Retirement Benefit Plans Current</t>
  </si>
  <si>
    <t>Other Non Current Liabilities</t>
  </si>
  <si>
    <t>Long Term Capital Lease Obligation</t>
  </si>
  <si>
    <t>Non-current Liabilites</t>
  </si>
  <si>
    <t>Liabilites and Equity</t>
  </si>
  <si>
    <t>Additional Paid In Capital</t>
  </si>
  <si>
    <t>Equity Gross minority interest</t>
  </si>
  <si>
    <t>Total Liabilites Gross minority interest</t>
  </si>
  <si>
    <t>Other Equity Adjustments</t>
  </si>
  <si>
    <t>Retained Earnings</t>
  </si>
  <si>
    <t>Liabilites Gross minority interest</t>
  </si>
  <si>
    <t>Total Equity Gross minority interest</t>
  </si>
  <si>
    <t>Total Liability and Equity</t>
  </si>
  <si>
    <t>Check</t>
  </si>
  <si>
    <t>Assumptions</t>
  </si>
  <si>
    <t>Revenue Growth</t>
  </si>
  <si>
    <t>Cost of goods sold (COGS)/Revenue</t>
  </si>
  <si>
    <t>Depreciation &amp; Amortization (% of PP&amp;E)</t>
  </si>
  <si>
    <t>Selling General And Administration (% of revenue)</t>
  </si>
  <si>
    <t>Research And Development (% of revenue)</t>
  </si>
  <si>
    <t>Net Non Operating Interest Income / Expense</t>
  </si>
  <si>
    <t>Tax rate (% of pretax income)</t>
  </si>
  <si>
    <t>Interest expenses (% of long term debt)</t>
  </si>
  <si>
    <t>Trade and Other Payables Non Current</t>
  </si>
  <si>
    <t>Accounts Receivable (Days)</t>
  </si>
  <si>
    <t>Accounts Payable (Days)</t>
  </si>
  <si>
    <t>Capital Expenditures ($000's)</t>
  </si>
  <si>
    <t>Debt &amp; Interest Schedule</t>
  </si>
  <si>
    <t>Debt Opening</t>
  </si>
  <si>
    <t>Debt Closing</t>
  </si>
  <si>
    <t>Long Term Debt</t>
  </si>
  <si>
    <t>Long Term Debt Payments</t>
  </si>
  <si>
    <t>Long Term Debt Issuance</t>
  </si>
  <si>
    <t>Issuance of debt</t>
  </si>
  <si>
    <t>Repayment of debt</t>
  </si>
  <si>
    <t>Non-cash lease additions</t>
  </si>
  <si>
    <t>Paid in capital (% of revenue)</t>
  </si>
  <si>
    <t>Debt Issuance (% of CapitalEX)</t>
  </si>
  <si>
    <t>Repayment of debt (% of debt)</t>
  </si>
  <si>
    <t>Net Business Purchase And Sale (% of revenue)</t>
  </si>
  <si>
    <t>Long Term Capital Lease Obligation (% of COGS)</t>
  </si>
  <si>
    <t>Current Capital Lease Obligation (% of Long term lease)</t>
  </si>
  <si>
    <t>Trade and Other Payables Non Current (% of CapEX)</t>
  </si>
  <si>
    <t>Total Tax Payable (% of Tax Provision)</t>
  </si>
  <si>
    <t>Unrealized Gain / Loss On Investment Securities</t>
  </si>
  <si>
    <t>Other Current Assets (% of revenue)</t>
  </si>
  <si>
    <t>Other Current Liabilities (% of revenue)</t>
  </si>
  <si>
    <t>Change In Prepaid Assets (% of revenue)</t>
  </si>
  <si>
    <t>Deferred Income Tax (% of Depreciation)</t>
  </si>
  <si>
    <t>Averages / Outputs</t>
  </si>
  <si>
    <t>Summary</t>
  </si>
  <si>
    <t>Ratio</t>
  </si>
  <si>
    <t>Formula</t>
  </si>
  <si>
    <t>Gross Margin</t>
  </si>
  <si>
    <t>GP / Rev</t>
  </si>
  <si>
    <t>EBITDA Margin</t>
  </si>
  <si>
    <t>EBITDA / Rev</t>
  </si>
  <si>
    <t>ROE</t>
  </si>
  <si>
    <t>NI / Avg Equity</t>
  </si>
  <si>
    <t>DSO</t>
  </si>
  <si>
    <t>(AR / Rev) * 365</t>
  </si>
  <si>
    <t>Net Debt / EBITDA</t>
  </si>
  <si>
    <t>(Debt-Cash) / EBITDA</t>
  </si>
  <si>
    <t>FCF Conversion</t>
  </si>
  <si>
    <t>FCF / EBITDA</t>
  </si>
  <si>
    <t>Metrics</t>
  </si>
  <si>
    <t>Free Cash Flow</t>
  </si>
  <si>
    <t>-</t>
  </si>
  <si>
    <t>https://investor.atmeta.com/investor-news/press-release-details/2026/Meta-Reports-Fourth-Quarter-and-Full-Year-2025-Results/default.aspx#:~:text=We%20anticipate%202026%20capital%20expenditures,Labs%20efforts%20and%20core%20business.</t>
  </si>
  <si>
    <t>Captial Expenditure</t>
  </si>
  <si>
    <t>EBIT (Operating Income)</t>
  </si>
  <si>
    <t>Less: Cash Taxes</t>
  </si>
  <si>
    <t>NOPAT</t>
  </si>
  <si>
    <t>Add: Depreciation &amp; Amortization</t>
  </si>
  <si>
    <t>Less: Capital Expenditures</t>
  </si>
  <si>
    <t>Less/Add: Change in Working Capital</t>
  </si>
  <si>
    <t>Unlevered Free Cash Flow (UFCF)</t>
  </si>
  <si>
    <t>Unlevered Free Cash Flow</t>
  </si>
  <si>
    <t>WACC Component</t>
  </si>
  <si>
    <t>Value</t>
  </si>
  <si>
    <t>Rationale</t>
  </si>
  <si>
    <t>Current 10-Year Treasury</t>
  </si>
  <si>
    <t>Meta Historical Beta</t>
  </si>
  <si>
    <t>Equity Risk Premium</t>
  </si>
  <si>
    <t>Market Standard</t>
  </si>
  <si>
    <t>Cost of Equity</t>
  </si>
  <si>
    <t>Pre-tax Cost of Debt</t>
  </si>
  <si>
    <t>Meta's Bond Yields</t>
  </si>
  <si>
    <t>After-tax Cost of Debt</t>
  </si>
  <si>
    <t>Calculated WACC</t>
  </si>
  <si>
    <t>Weighted Average</t>
  </si>
  <si>
    <t>WACC Calculation</t>
  </si>
  <si>
    <t xml:space="preserve">Beta </t>
  </si>
  <si>
    <t>Risk-Free Rate</t>
  </si>
  <si>
    <t>R(f) + (beta * ERP)</t>
  </si>
  <si>
    <t>R(d) * (1- tax)</t>
  </si>
  <si>
    <t>Valuation Step</t>
  </si>
  <si>
    <t>Result</t>
  </si>
  <si>
    <t>PV of Cash Flows (2026-2029)</t>
  </si>
  <si>
    <t>Terminal Value (TV)</t>
  </si>
  <si>
    <t>PV of Terminal Value</t>
  </si>
  <si>
    <t>Total Enterprise Value (EV)</t>
  </si>
  <si>
    <t>Terminal Value &amp; Enterprise Value</t>
  </si>
  <si>
    <t>Terminal Growth Rate</t>
  </si>
  <si>
    <t>Component</t>
  </si>
  <si>
    <t>Enterprise Value</t>
  </si>
  <si>
    <t>(+) Cash &amp; Cash Equivalents</t>
  </si>
  <si>
    <t>(-) Total Debt</t>
  </si>
  <si>
    <t>Equity Value</t>
  </si>
  <si>
    <t>(/) Shares Outstanding</t>
  </si>
  <si>
    <t>Implied Share Price</t>
  </si>
  <si>
    <t>The Valuation Bridge (Price per Share)</t>
  </si>
  <si>
    <t>Values</t>
  </si>
  <si>
    <t>The Sensitivity Matrix</t>
  </si>
  <si>
    <t>Market Details as of 31/01/2026</t>
  </si>
  <si>
    <t>Valuation Method</t>
  </si>
  <si>
    <t>Low</t>
  </si>
  <si>
    <t>High</t>
  </si>
  <si>
    <t>52-Week Range</t>
  </si>
  <si>
    <t>Analyst Consensus</t>
  </si>
  <si>
    <t>Current Market Price</t>
  </si>
  <si>
    <t>DCF (Your Model range)</t>
  </si>
  <si>
    <t>DCF (Your Model Price)</t>
  </si>
  <si>
    <t>Range</t>
  </si>
  <si>
    <t>CapEX</t>
  </si>
  <si>
    <t>Project: Meta Platforms (META) – Strategic AI Transformation Model</t>
  </si>
  <si>
    <t>Date: February 2, 2026 | Ticker: META | Current Price: ~$716.50</t>
  </si>
  <si>
    <t>Executive Summary</t>
  </si>
  <si>
    <t>This model provides an integrated 3-Statement Forecast (2026–2029) and Discounted Cash Flow (DCF) valuation for Meta Platforms, Inc. The primary objective is to analyze the financial impact of Meta’s transition from a "Year of Efficiency" (2023-2024) to a "Year of Superintelligence" (2026+).
The model is built to handle the massive infrastructure step-up while testing the sustainability of Free Cash Flow margins.</t>
  </si>
  <si>
    <t>Tab Navigation &amp; Model Architecture</t>
  </si>
  <si>
    <t>The workbook is partitioned into specific functional areas to maintain a clean and auditable flow:</t>
  </si>
  <si>
    <t>Executive dashboard featuring the "Football Field" valuation comparison and key performance indicators (KPIs)</t>
  </si>
  <si>
    <t>Centralized hub for all model drivers. Includes dynamic toggles for Revenue Growth and CapEx intensity.</t>
  </si>
  <si>
    <t>Core integrated statements. These use circular reference protection for interest expense and debt scheduling.</t>
  </si>
  <si>
    <t>Financials</t>
  </si>
  <si>
    <t>Valuation</t>
  </si>
  <si>
    <t>Unlevered DCF using a 4-year explicit forecast period and two Terminal Value methodologies (Exit Multiple vs. Gordon Growth).</t>
  </si>
  <si>
    <t>Supporting Schedules</t>
  </si>
  <si>
    <t>Dedicated tab for working notes</t>
  </si>
  <si>
    <t>Strategic Assumptions (The AI Pivot)</t>
  </si>
  <si>
    <t>Metric</t>
  </si>
  <si>
    <t>2026 Assumption</t>
  </si>
  <si>
    <t>24.0% - 30.0%</t>
  </si>
  <si>
    <t>Driven by AI-powered ad-conversion lift and Q1 2026 guidance ($53.5B–$56.5B).</t>
  </si>
  <si>
    <t>CapEx (PPE)</t>
  </si>
  <si>
    <t>Midpoint of official guidance ($115B–$135B) for "Meta Compute" infrastructure.</t>
  </si>
  <si>
    <t>Share Count</t>
  </si>
  <si>
    <t>2,574M</t>
  </si>
  <si>
    <t>WACC</t>
  </si>
  <si>
    <t>Market-standard discount rate for high-cash-flow Mega-Cap technology.</t>
  </si>
  <si>
    <t>Official Diluted Shares Outstanding baseline to account for RSU impact.</t>
  </si>
  <si>
    <t>$125.0B</t>
  </si>
  <si>
    <t>Valuation Framework</t>
  </si>
  <si>
    <t>The model yields a fundamental Implied Share Price of $487.95. The gap between this and the market price of $716.50 is explored in the Sensitivity Matrix on the Valuation tab. This variance highlights the "Optimism Premium" the market places on Meta’s long-term AI efficiency gains.</t>
  </si>
  <si>
    <t>Model Integrity &amp; Best Practices</t>
  </si>
  <si>
    <t>Color Coding</t>
  </si>
  <si>
    <t>Hard-coded historicals and assumption inputs.</t>
  </si>
  <si>
    <t>Black</t>
  </si>
  <si>
    <t>Formulas and calculations</t>
  </si>
  <si>
    <t>Blue</t>
  </si>
  <si>
    <t>&lt;&lt; Back to home</t>
  </si>
  <si>
    <t>Supporting schedule</t>
  </si>
  <si>
    <t>Balance sheet</t>
  </si>
  <si>
    <t>Ashish Jangra</t>
  </si>
  <si>
    <t>By</t>
  </si>
  <si>
    <t>2a</t>
  </si>
  <si>
    <t>2b</t>
  </si>
  <si>
    <t>2c</t>
  </si>
  <si>
    <t>2d</t>
  </si>
  <si>
    <t>2e</t>
  </si>
  <si>
    <t>2f</t>
  </si>
  <si>
    <t>2g</t>
  </si>
  <si>
    <t>Revenue is projected to grow at 24% annually. This reflects the company's expansion strategy, market demand, and historical growth momentum.</t>
  </si>
  <si>
    <t>Cost of goods sold (COGS) is maintained at 20% of revenue, indicating stable manufacturing and procurement efficiency with slight improvements from historical levels.</t>
  </si>
  <si>
    <t>Depreciation &amp; Amortization is applied at 10% of PP&amp;E, reflecting an average useful life of assets of approximately 10 years.</t>
  </si>
  <si>
    <t>Tax rate is assumed at 20%, representing the effective blended tax rate accounting for federal, state, and international tax obligations.</t>
  </si>
  <si>
    <t>Interest expense on long-term debt is assumed at 2% annually, reflecting current market conditions and the company's favorable credit profile.</t>
  </si>
  <si>
    <t>Accounts Receivable is maintained at 40 days of sales outstanding (DSO), consistent with the company's customer payment terms and collection efficiency.</t>
  </si>
  <si>
    <t>Accounts Payable is maintained at 80 days payable outstanding (DPO), representing optimized supplier payment terms and working capital management.</t>
  </si>
  <si>
    <t>Capital Expenditures are planned at $90 billion annually, supporting infrastructure development, technology investments, and business expansion.</t>
  </si>
  <si>
    <t>Selling, General &amp; Administrative (SG&amp;A) expenses are projected at 16% of revenue, demonstrating operational leverage as the company scales.</t>
  </si>
  <si>
    <t>Research &amp; Development spending is maintained at 28% of revenue, reflecting the company's commitment to innovation and competitive positioning.</t>
  </si>
  <si>
    <t>Non-Operating Interest Income is assumed at 2% annually, representing net interest income from cash balances in a positive rate environment.</t>
  </si>
  <si>
    <t>Paid-in Capital (share repurchases and new issuances) is projected at 45% of revenue, representing the company's capital allocation policy favoring shareholder returns.</t>
  </si>
  <si>
    <t>Debt Issuance is set at -33% of capital expenditures, indicating that 33% of capex is financed through debt, consistent with the target capital structure.</t>
  </si>
  <si>
    <t>Debt Repayment is set at -20% of outstanding debt, reflecting a gradual deleveraging strategy to optimize the capital structure.</t>
  </si>
  <si>
    <t>Net Business Purchases and Sales are assumed at -1% of revenue, representing minimal M&amp;A activity relative to total business size.</t>
  </si>
  <si>
    <t>Long Term Capital Lease Obligation is assumed at 50% of COGS, representing operating leases recognized under IFRS 16/ASC 842 accounting standards.</t>
  </si>
  <si>
    <t>Current Capital Lease Obligation (current portion of leases) is set at 12% of long-term lease obligations, based on the lease amortization schedule.</t>
  </si>
  <si>
    <t>Trade and Other Payables Non-Current are assumed at -26% of capex, representing deferred payment obligations on supplier contracts for capital-related purchases.</t>
  </si>
  <si>
    <t>Total Tax Payable is set at 33% of tax provision, reflecting timing differences between tax accrual and actual cash tax payments.</t>
  </si>
  <si>
    <t>Other Current Assets are projected at 35% of revenue, including prepaid expenses, short-term receivables, and other miscellaneous current assets.</t>
  </si>
  <si>
    <t>Other Current Liabilities are projected at 45% of revenue, including deferred revenue, accrued expenses, and other accrued liabilities.</t>
  </si>
  <si>
    <t>Change in Prepaid Assets is assumed at -0.03% of revenue, representing minimal year-over-year changes in prepaid expenses.</t>
  </si>
  <si>
    <t>Deferred Income Tax is set at 80% of depreciation, reflecting timing differences between book depreciation and tax depreciation, creating deferred tax liabilities.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</si>
</sst>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64" formatCode="_ * #,##0_ ;_ * \-#,##0_ ;_ * &quot;-&quot;??_ ;_ @_ "/>
    <numFmt numFmtId="165" formatCode="#,##0;\(#,##0\)"/>
    <numFmt numFmtId="166" formatCode="#,##0.00;\(#,##0.00\)"/>
    <numFmt numFmtId="167" formatCode="0\ &quot;Days&quot;"/>
    <numFmt numFmtId="168" formatCode="0.0%"/>
    <numFmt numFmtId="169" formatCode="&quot;WACC&quot;\ 0.0%"/>
    <numFmt numFmtId="170" formatCode="&quot;Terminal growth rate&quot;\ 0.0%"/>
    <numFmt numFmtId="171" formatCode="\$\ 0"/>
    <numFmt numFmtId="172" formatCode="0."/>
    <numFmt numFmtId="173" formatCode="&quot;DCF model : $&quot;0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8"/>
      <name val="Calibri"/>
      <family val="2"/>
      <scheme val="minor"/>
    </font>
    <font>
      <sz val="12"/>
      <name val="Calibri"/>
      <family val="2"/>
      <scheme val="minor"/>
    </font>
    <font>
      <sz val="12"/>
      <color rgb="FF3271D2"/>
      <name val="Calibri"/>
      <family val="2"/>
      <scheme val="minor"/>
    </font>
    <font>
      <sz val="12"/>
      <color theme="4" tint="-0.249977111117893"/>
      <name val="Calibri"/>
      <family val="2"/>
      <scheme val="minor"/>
    </font>
    <font>
      <sz val="12"/>
      <color rgb="FF00B05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22">
    <xf numFmtId="0" fontId="0" fillId="0" borderId="0" xfId="0"/>
    <xf numFmtId="0" fontId="1" fillId="0" borderId="0" xfId="0" applyFont="1"/>
    <xf numFmtId="0" fontId="0" fillId="0" borderId="0" xfId="0" applyAlignment="1">
      <alignment horizontal="left" vertical="center" indent="1"/>
    </xf>
    <xf numFmtId="0" fontId="2" fillId="3" borderId="0" xfId="0" applyFont="1" applyFill="1"/>
    <xf numFmtId="0" fontId="4" fillId="2" borderId="0" xfId="0" applyFont="1" applyFill="1"/>
    <xf numFmtId="164" fontId="0" fillId="0" borderId="0" xfId="0" applyNumberFormat="1"/>
    <xf numFmtId="2" fontId="0" fillId="0" borderId="0" xfId="0" applyNumberFormat="1"/>
    <xf numFmtId="0" fontId="10" fillId="0" borderId="0" xfId="0" applyFont="1"/>
    <xf numFmtId="0" fontId="11" fillId="0" borderId="0" xfId="0" applyFont="1"/>
    <xf numFmtId="164" fontId="12" fillId="0" borderId="0" xfId="1" applyNumberFormat="1" applyFont="1"/>
    <xf numFmtId="164" fontId="11" fillId="0" borderId="0" xfId="1" applyNumberFormat="1" applyFont="1"/>
    <xf numFmtId="0" fontId="10" fillId="0" borderId="2" xfId="0" applyFont="1" applyBorder="1"/>
    <xf numFmtId="0" fontId="11" fillId="0" borderId="2" xfId="0" applyFont="1" applyBorder="1"/>
    <xf numFmtId="0" fontId="10" fillId="0" borderId="3" xfId="0" applyFont="1" applyBorder="1"/>
    <xf numFmtId="0" fontId="11" fillId="0" borderId="3" xfId="0" applyFont="1" applyBorder="1"/>
    <xf numFmtId="0" fontId="10" fillId="0" borderId="1" xfId="0" applyFont="1" applyBorder="1"/>
    <xf numFmtId="0" fontId="11" fillId="0" borderId="1" xfId="0" applyFont="1" applyBorder="1"/>
    <xf numFmtId="164" fontId="14" fillId="0" borderId="0" xfId="1" applyNumberFormat="1" applyFont="1"/>
    <xf numFmtId="3" fontId="0" fillId="0" borderId="0" xfId="0" applyNumberFormat="1"/>
    <xf numFmtId="2" fontId="16" fillId="0" borderId="0" xfId="0" applyNumberFormat="1" applyFont="1"/>
    <xf numFmtId="165" fontId="12" fillId="0" borderId="0" xfId="1" applyNumberFormat="1" applyFont="1"/>
    <xf numFmtId="165" fontId="11" fillId="0" borderId="0" xfId="1" applyNumberFormat="1" applyFont="1"/>
    <xf numFmtId="165" fontId="12" fillId="0" borderId="0" xfId="1" applyNumberFormat="1" applyFont="1" applyBorder="1"/>
    <xf numFmtId="165" fontId="10" fillId="0" borderId="2" xfId="1" applyNumberFormat="1" applyFont="1" applyBorder="1"/>
    <xf numFmtId="165" fontId="10" fillId="0" borderId="3" xfId="1" applyNumberFormat="1" applyFont="1" applyBorder="1"/>
    <xf numFmtId="165" fontId="11" fillId="0" borderId="0" xfId="1" applyNumberFormat="1" applyFont="1" applyBorder="1"/>
    <xf numFmtId="165" fontId="12" fillId="0" borderId="2" xfId="1" applyNumberFormat="1" applyFont="1" applyBorder="1"/>
    <xf numFmtId="165" fontId="13" fillId="0" borderId="2" xfId="1" applyNumberFormat="1" applyFont="1" applyBorder="1"/>
    <xf numFmtId="165" fontId="12" fillId="0" borderId="1" xfId="1" applyNumberFormat="1" applyFont="1" applyBorder="1"/>
    <xf numFmtId="165" fontId="13" fillId="0" borderId="1" xfId="1" applyNumberFormat="1" applyFont="1" applyBorder="1"/>
    <xf numFmtId="166" fontId="10" fillId="0" borderId="2" xfId="0" applyNumberFormat="1" applyFont="1" applyBorder="1"/>
    <xf numFmtId="166" fontId="10" fillId="0" borderId="1" xfId="0" applyNumberFormat="1" applyFont="1" applyBorder="1"/>
    <xf numFmtId="165" fontId="14" fillId="0" borderId="0" xfId="1" applyNumberFormat="1" applyFont="1"/>
    <xf numFmtId="165" fontId="15" fillId="0" borderId="0" xfId="1" applyNumberFormat="1" applyFont="1"/>
    <xf numFmtId="165" fontId="11" fillId="0" borderId="1" xfId="1" applyNumberFormat="1" applyFont="1" applyBorder="1"/>
    <xf numFmtId="165" fontId="10" fillId="0" borderId="0" xfId="1" applyNumberFormat="1" applyFont="1"/>
    <xf numFmtId="165" fontId="13" fillId="0" borderId="0" xfId="1" applyNumberFormat="1" applyFont="1"/>
    <xf numFmtId="165" fontId="14" fillId="0" borderId="1" xfId="1" applyNumberFormat="1" applyFont="1" applyBorder="1"/>
    <xf numFmtId="43" fontId="12" fillId="0" borderId="0" xfId="1" applyFont="1"/>
    <xf numFmtId="43" fontId="0" fillId="0" borderId="0" xfId="0" applyNumberFormat="1"/>
    <xf numFmtId="0" fontId="0" fillId="0" borderId="2" xfId="0" applyBorder="1"/>
    <xf numFmtId="164" fontId="12" fillId="0" borderId="2" xfId="1" applyNumberFormat="1" applyFont="1" applyBorder="1"/>
    <xf numFmtId="164" fontId="11" fillId="0" borderId="2" xfId="1" applyNumberFormat="1" applyFont="1" applyBorder="1"/>
    <xf numFmtId="10" fontId="12" fillId="0" borderId="0" xfId="0" applyNumberFormat="1" applyFont="1"/>
    <xf numFmtId="10" fontId="11" fillId="0" borderId="0" xfId="0" applyNumberFormat="1" applyFont="1"/>
    <xf numFmtId="10" fontId="0" fillId="0" borderId="0" xfId="0" applyNumberFormat="1"/>
    <xf numFmtId="164" fontId="12" fillId="0" borderId="0" xfId="1" applyNumberFormat="1" applyFont="1" applyBorder="1"/>
    <xf numFmtId="164" fontId="11" fillId="0" borderId="0" xfId="1" applyNumberFormat="1" applyFont="1" applyBorder="1"/>
    <xf numFmtId="0" fontId="0" fillId="0" borderId="1" xfId="0" applyBorder="1"/>
    <xf numFmtId="10" fontId="12" fillId="0" borderId="2" xfId="0" applyNumberFormat="1" applyFont="1" applyBorder="1"/>
    <xf numFmtId="10" fontId="11" fillId="0" borderId="2" xfId="0" applyNumberFormat="1" applyFont="1" applyBorder="1"/>
    <xf numFmtId="0" fontId="0" fillId="0" borderId="3" xfId="0" applyBorder="1"/>
    <xf numFmtId="167" fontId="12" fillId="0" borderId="0" xfId="0" applyNumberFormat="1" applyFont="1"/>
    <xf numFmtId="167" fontId="11" fillId="0" borderId="0" xfId="0" applyNumberFormat="1" applyFont="1"/>
    <xf numFmtId="0" fontId="1" fillId="0" borderId="2" xfId="0" applyFont="1" applyBorder="1"/>
    <xf numFmtId="0" fontId="10" fillId="0" borderId="2" xfId="0" applyFont="1" applyBorder="1" applyAlignment="1">
      <alignment horizontal="left"/>
    </xf>
    <xf numFmtId="2" fontId="0" fillId="0" borderId="1" xfId="0" applyNumberFormat="1" applyBorder="1"/>
    <xf numFmtId="164" fontId="11" fillId="0" borderId="0" xfId="0" applyNumberFormat="1" applyFont="1"/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horizontal="center"/>
    </xf>
    <xf numFmtId="164" fontId="10" fillId="0" borderId="3" xfId="1" applyNumberFormat="1" applyFont="1" applyBorder="1"/>
    <xf numFmtId="2" fontId="10" fillId="0" borderId="3" xfId="0" applyNumberFormat="1" applyFont="1" applyBorder="1"/>
    <xf numFmtId="169" fontId="10" fillId="0" borderId="2" xfId="2" applyNumberFormat="1" applyFont="1" applyBorder="1"/>
    <xf numFmtId="170" fontId="10" fillId="0" borderId="0" xfId="2" applyNumberFormat="1" applyFont="1" applyBorder="1"/>
    <xf numFmtId="170" fontId="10" fillId="0" borderId="1" xfId="2" applyNumberFormat="1" applyFont="1" applyBorder="1"/>
    <xf numFmtId="171" fontId="10" fillId="0" borderId="0" xfId="0" applyNumberFormat="1" applyFont="1"/>
    <xf numFmtId="171" fontId="10" fillId="0" borderId="1" xfId="0" applyNumberFormat="1" applyFont="1" applyBorder="1"/>
    <xf numFmtId="172" fontId="11" fillId="0" borderId="0" xfId="0" applyNumberFormat="1" applyFont="1"/>
    <xf numFmtId="172" fontId="11" fillId="0" borderId="0" xfId="0" applyNumberFormat="1" applyFont="1" applyAlignment="1">
      <alignment vertical="top"/>
    </xf>
    <xf numFmtId="10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68" fontId="12" fillId="0" borderId="0" xfId="2" applyNumberFormat="1" applyFont="1" applyBorder="1" applyAlignment="1">
      <alignment horizontal="center"/>
    </xf>
    <xf numFmtId="10" fontId="12" fillId="0" borderId="1" xfId="0" applyNumberFormat="1" applyFont="1" applyBorder="1" applyAlignment="1">
      <alignment horizontal="center"/>
    </xf>
    <xf numFmtId="168" fontId="12" fillId="0" borderId="0" xfId="2" applyNumberFormat="1" applyFont="1" applyBorder="1"/>
    <xf numFmtId="2" fontId="1" fillId="0" borderId="2" xfId="0" applyNumberFormat="1" applyFont="1" applyBorder="1"/>
    <xf numFmtId="0" fontId="1" fillId="0" borderId="1" xfId="0" applyFont="1" applyBorder="1"/>
    <xf numFmtId="172" fontId="10" fillId="0" borderId="7" xfId="0" applyNumberFormat="1" applyFont="1" applyBorder="1"/>
    <xf numFmtId="0" fontId="0" fillId="0" borderId="8" xfId="0" applyBorder="1"/>
    <xf numFmtId="0" fontId="0" fillId="0" borderId="7" xfId="0" applyBorder="1"/>
    <xf numFmtId="0" fontId="0" fillId="0" borderId="0" xfId="0" applyAlignment="1">
      <alignment vertical="top"/>
    </xf>
    <xf numFmtId="0" fontId="0" fillId="0" borderId="8" xfId="0" applyBorder="1" applyAlignment="1">
      <alignment vertical="top"/>
    </xf>
    <xf numFmtId="0" fontId="21" fillId="0" borderId="0" xfId="0" applyFont="1"/>
    <xf numFmtId="0" fontId="22" fillId="0" borderId="0" xfId="0" applyFont="1"/>
    <xf numFmtId="0" fontId="0" fillId="0" borderId="9" xfId="0" applyBorder="1"/>
    <xf numFmtId="0" fontId="0" fillId="0" borderId="10" xfId="0" applyBorder="1" applyAlignment="1">
      <alignment vertical="top" wrapText="1"/>
    </xf>
    <xf numFmtId="0" fontId="17" fillId="0" borderId="0" xfId="3" applyBorder="1"/>
    <xf numFmtId="0" fontId="3" fillId="4" borderId="0" xfId="0" applyFont="1" applyFill="1" applyAlignment="1">
      <alignment vertical="center"/>
    </xf>
    <xf numFmtId="173" fontId="10" fillId="0" borderId="2" xfId="0" applyNumberFormat="1" applyFont="1" applyBorder="1"/>
    <xf numFmtId="0" fontId="10" fillId="5" borderId="0" xfId="0" applyFont="1" applyFill="1" applyAlignment="1">
      <alignment horizontal="right" vertical="center"/>
    </xf>
    <xf numFmtId="0" fontId="10" fillId="5" borderId="0" xfId="0" applyFont="1" applyFill="1" applyAlignment="1">
      <alignment vertical="center"/>
    </xf>
    <xf numFmtId="0" fontId="24" fillId="5" borderId="8" xfId="3" applyFont="1" applyFill="1" applyBorder="1" applyAlignment="1">
      <alignment vertical="center"/>
    </xf>
    <xf numFmtId="0" fontId="1" fillId="0" borderId="7" xfId="0" applyFont="1" applyBorder="1" applyAlignment="1">
      <alignment horizontal="right"/>
    </xf>
    <xf numFmtId="172" fontId="0" fillId="0" borderId="0" xfId="0" applyNumberFormat="1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0" fillId="0" borderId="0" xfId="0"/>
    <xf numFmtId="0" fontId="0" fillId="0" borderId="8" xfId="0" applyBorder="1"/>
    <xf numFmtId="0" fontId="0" fillId="0" borderId="0" xfId="0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0" xfId="0" applyAlignment="1">
      <alignment horizontal="center" vertical="top"/>
    </xf>
    <xf numFmtId="10" fontId="0" fillId="0" borderId="0" xfId="0" applyNumberFormat="1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8" xfId="0" applyBorder="1" applyAlignment="1">
      <alignment horizontal="left" vertical="top"/>
    </xf>
    <xf numFmtId="0" fontId="20" fillId="3" borderId="4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3" borderId="6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8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left"/>
    </xf>
    <xf numFmtId="0" fontId="10" fillId="5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top"/>
    </xf>
    <xf numFmtId="0" fontId="23" fillId="4" borderId="0" xfId="3" applyFont="1" applyFill="1" applyAlignment="1">
      <alignment horizontal="left" vertical="center"/>
    </xf>
    <xf numFmtId="0" fontId="17" fillId="0" borderId="0" xfId="3" applyAlignment="1">
      <alignment horizontal="left" vertical="top" wrapText="1"/>
    </xf>
    <xf numFmtId="0" fontId="2" fillId="3" borderId="0" xfId="0" applyFont="1" applyFill="1" applyAlignment="1">
      <alignment horizontal="center" vertical="center" wrapText="1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2"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Key</a:t>
            </a:r>
            <a:r>
              <a:rPr lang="en-IN" baseline="0"/>
              <a:t> Metrics : META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Summary!$B$6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chemeClr val="accent1">
                <a:shade val="53000"/>
              </a:schemeClr>
            </a:solidFill>
            <a:ln>
              <a:noFill/>
            </a:ln>
            <a:effectLst/>
          </c:spPr>
          <c:invertIfNegative val="0"/>
          <c:cat>
            <c:numRef>
              <c:f>(Summary!$B$3,Summary!$C$3,Summary!$E$2:$L$2)</c:f>
              <c:numCache>
                <c:formatCode>General</c:formatCode>
                <c:ptCount val="10"/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</c:numCache>
            </c:numRef>
          </c:cat>
          <c:val>
            <c:numRef>
              <c:f>Summary!$C$6:$L$6</c:f>
              <c:numCache>
                <c:formatCode>General</c:formatCode>
                <c:ptCount val="10"/>
                <c:pt idx="2" formatCode="_ * #,##0_ ;_ * \-#,##0_ ;_ * &quot;-&quot;??_ ;_ @_ ">
                  <c:v>116609000000</c:v>
                </c:pt>
                <c:pt idx="3" formatCode="_ * #,##0_ ;_ * \-#,##0_ ;_ * &quot;-&quot;??_ ;_ @_ ">
                  <c:v>134902000000</c:v>
                </c:pt>
                <c:pt idx="4" formatCode="_ * #,##0_ ;_ * \-#,##0_ ;_ * &quot;-&quot;??_ ;_ @_ ">
                  <c:v>164501000000</c:v>
                </c:pt>
                <c:pt idx="5" formatCode="_ * #,##0_ ;_ * \-#,##0_ ;_ * &quot;-&quot;??_ ;_ @_ ">
                  <c:v>200966000000</c:v>
                </c:pt>
                <c:pt idx="6" formatCode="_ * #,##0_ ;_ * \-#,##0_ ;_ * &quot;-&quot;??_ ;_ @_ ">
                  <c:v>249197840000</c:v>
                </c:pt>
                <c:pt idx="7" formatCode="_ * #,##0_ ;_ * \-#,##0_ ;_ * &quot;-&quot;??_ ;_ @_ ">
                  <c:v>309005321600</c:v>
                </c:pt>
                <c:pt idx="8" formatCode="_ * #,##0_ ;_ * \-#,##0_ ;_ * &quot;-&quot;??_ ;_ @_ ">
                  <c:v>383166598784</c:v>
                </c:pt>
                <c:pt idx="9" formatCode="_ * #,##0_ ;_ * \-#,##0_ ;_ * &quot;-&quot;??_ ;_ @_ ">
                  <c:v>475126582492.15997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D9-41CE-85B9-7E8BEE7614CC}"/>
            </c:ext>
          </c:extLst>
        </c:ser>
        <c:ser>
          <c:idx val="2"/>
          <c:order val="1"/>
          <c:tx>
            <c:strRef>
              <c:f>Summary!$B$8</c:f>
              <c:strCache>
                <c:ptCount val="1"/>
                <c:pt idx="0">
                  <c:v>Net Income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(Summary!$B$3,Summary!$C$3,Summary!$E$2:$L$2)</c:f>
              <c:numCache>
                <c:formatCode>General</c:formatCode>
                <c:ptCount val="10"/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</c:numCache>
            </c:numRef>
          </c:cat>
          <c:val>
            <c:numRef>
              <c:f>Summary!$C$8:$L$8</c:f>
              <c:numCache>
                <c:formatCode>0.00%</c:formatCode>
                <c:ptCount val="10"/>
                <c:pt idx="2" formatCode="_ * #,##0_ ;_ * \-#,##0_ ;_ * &quot;-&quot;??_ ;_ @_ ">
                  <c:v>23200000000</c:v>
                </c:pt>
                <c:pt idx="3" formatCode="_ * #,##0_ ;_ * \-#,##0_ ;_ * &quot;-&quot;??_ ;_ @_ ">
                  <c:v>39098000000</c:v>
                </c:pt>
                <c:pt idx="4" formatCode="_ * #,##0_ ;_ * \-#,##0_ ;_ * &quot;-&quot;??_ ;_ @_ ">
                  <c:v>62360000000</c:v>
                </c:pt>
                <c:pt idx="5" formatCode="_ * #,##0_ ;_ * \-#,##0_ ;_ * &quot;-&quot;??_ ;_ @_ ">
                  <c:v>60458000000</c:v>
                </c:pt>
                <c:pt idx="6" formatCode="_ * #,##0_ ;_ * \-#,##0_ ;_ * &quot;-&quot;??_ ;_ @_ ">
                  <c:v>74109668817.564056</c:v>
                </c:pt>
                <c:pt idx="7" formatCode="_ * #,##0_ ;_ * \-#,##0_ ;_ * &quot;-&quot;??_ ;_ @_ ">
                  <c:v>92720910486.505646</c:v>
                </c:pt>
                <c:pt idx="8" formatCode="_ * #,##0_ ;_ * \-#,##0_ ;_ * &quot;-&quot;??_ ;_ @_ ">
                  <c:v>116331268712.14949</c:v>
                </c:pt>
                <c:pt idx="9" formatCode="_ * #,##0_ ;_ * \-#,##0_ ;_ * &quot;-&quot;??_ ;_ @_ ">
                  <c:v>145905949156.48535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D9-41CE-85B9-7E8BEE7614CC}"/>
            </c:ext>
          </c:extLst>
        </c:ser>
        <c:ser>
          <c:idx val="3"/>
          <c:order val="2"/>
          <c:tx>
            <c:strRef>
              <c:f>Summary!$B$9</c:f>
              <c:strCache>
                <c:ptCount val="1"/>
                <c:pt idx="0">
                  <c:v>Operating Cash Flow</c:v>
                </c:pt>
              </c:strCache>
            </c:strRef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numRef>
              <c:f>(Summary!$B$3,Summary!$C$3,Summary!$E$2:$L$2)</c:f>
              <c:numCache>
                <c:formatCode>General</c:formatCode>
                <c:ptCount val="10"/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</c:numCache>
            </c:numRef>
          </c:cat>
          <c:val>
            <c:numRef>
              <c:f>Summary!$C$9:$L$9</c:f>
              <c:numCache>
                <c:formatCode>General</c:formatCode>
                <c:ptCount val="10"/>
                <c:pt idx="2" formatCode="_ * #,##0_ ;_ * \-#,##0_ ;_ * &quot;-&quot;??_ ;_ @_ ">
                  <c:v>50475000000</c:v>
                </c:pt>
                <c:pt idx="3" formatCode="_ * #,##0_ ;_ * \-#,##0_ ;_ * &quot;-&quot;??_ ;_ @_ ">
                  <c:v>71113000000</c:v>
                </c:pt>
                <c:pt idx="4" formatCode="_ * #,##0_ ;_ * \-#,##0_ ;_ * &quot;-&quot;??_ ;_ @_ ">
                  <c:v>91328000000</c:v>
                </c:pt>
                <c:pt idx="5" formatCode="_ * #,##0_ ;_ * \-#,##0_ ;_ * &quot;-&quot;??_ ;_ @_ ">
                  <c:v>115800000000</c:v>
                </c:pt>
                <c:pt idx="6" formatCode="_ * #,##0_ ;_ * \-#,##0_ ;_ * &quot;-&quot;??_ ;_ @_ ">
                  <c:v>163850918068.30377</c:v>
                </c:pt>
                <c:pt idx="7" formatCode="_ * #,##0_ ;_ * \-#,##0_ ;_ * &quot;-&quot;??_ ;_ @_ ">
                  <c:v>193687454634.68317</c:v>
                </c:pt>
                <c:pt idx="8" formatCode="_ * #,##0_ ;_ * \-#,##0_ ;_ * &quot;-&quot;??_ ;_ @_ ">
                  <c:v>234356815567.88965</c:v>
                </c:pt>
                <c:pt idx="9" formatCode="_ * #,##0_ ;_ * \-#,##0_ ;_ * &quot;-&quot;??_ ;_ @_ ">
                  <c:v>281913956158.40314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D9-41CE-85B9-7E8BEE7614CC}"/>
            </c:ext>
          </c:extLst>
        </c:ser>
        <c:ser>
          <c:idx val="4"/>
          <c:order val="3"/>
          <c:tx>
            <c:strRef>
              <c:f>Summary!$B$10</c:f>
              <c:strCache>
                <c:ptCount val="1"/>
                <c:pt idx="0">
                  <c:v>Free Cash Flow</c:v>
                </c:pt>
              </c:strCache>
            </c:strRef>
          </c:tx>
          <c:spPr>
            <a:solidFill>
              <a:schemeClr val="accent1">
                <a:tint val="54000"/>
              </a:schemeClr>
            </a:solidFill>
            <a:ln>
              <a:noFill/>
            </a:ln>
            <a:effectLst/>
          </c:spPr>
          <c:invertIfNegative val="0"/>
          <c:cat>
            <c:numRef>
              <c:f>(Summary!$B$3,Summary!$C$3,Summary!$E$2:$L$2)</c:f>
              <c:numCache>
                <c:formatCode>General</c:formatCode>
                <c:ptCount val="10"/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</c:numCache>
            </c:numRef>
          </c:cat>
          <c:val>
            <c:numRef>
              <c:f>Summary!$C$10:$L$10</c:f>
              <c:numCache>
                <c:formatCode>General</c:formatCode>
                <c:ptCount val="10"/>
                <c:pt idx="2" formatCode="_ * #,##0_ ;_ * \-#,##0_ ;_ * &quot;-&quot;??_ ;_ @_ ">
                  <c:v>19289000000</c:v>
                </c:pt>
                <c:pt idx="3" formatCode="_ * #,##0_ ;_ * \-#,##0_ ;_ * &quot;-&quot;??_ ;_ @_ ">
                  <c:v>44068000000</c:v>
                </c:pt>
                <c:pt idx="4" formatCode="_ * #,##0_ ;_ * \-#,##0_ ;_ * &quot;-&quot;??_ ;_ @_ ">
                  <c:v>54072000000</c:v>
                </c:pt>
                <c:pt idx="5" formatCode="_ * #,##0_ ;_ * \-#,##0_ ;_ * &quot;-&quot;??_ ;_ @_ ">
                  <c:v>46109000000</c:v>
                </c:pt>
                <c:pt idx="6" formatCode="_ * #,##0_ ;_ * \-#,##0_ ;_ * &quot;-&quot;??_ ;_ @_ ">
                  <c:v>38850918068.303772</c:v>
                </c:pt>
                <c:pt idx="7" formatCode="_ * #,##0_ ;_ * \-#,##0_ ;_ * &quot;-&quot;??_ ;_ @_ ">
                  <c:v>83687454634.683167</c:v>
                </c:pt>
                <c:pt idx="8" formatCode="_ * #,##0_ ;_ * \-#,##0_ ;_ * &quot;-&quot;??_ ;_ @_ ">
                  <c:v>144356815567.88965</c:v>
                </c:pt>
                <c:pt idx="9" formatCode="_ * #,##0_ ;_ * \-#,##0_ ;_ * &quot;-&quot;??_ ;_ @_ ">
                  <c:v>191913956158.40314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D9-41CE-85B9-7E8BEE761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575907647"/>
        <c:axId val="575899487"/>
      </c:barChart>
      <c:catAx>
        <c:axId val="5759076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5899487"/>
        <c:crosses val="autoZero"/>
        <c:auto val="1"/>
        <c:lblAlgn val="ctr"/>
        <c:lblOffset val="100"/>
        <c:noMultiLvlLbl val="0"/>
      </c:catAx>
      <c:valAx>
        <c:axId val="5758994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5907647"/>
        <c:crosses val="autoZero"/>
        <c:crossBetween val="between"/>
        <c:dispUnits>
          <c:builtInUnit val="b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CapEx</a:t>
            </a:r>
            <a:r>
              <a:rPr lang="en-IN" baseline="0"/>
              <a:t> vs Free Cash Flow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Summary!$B$11</c:f>
              <c:strCache>
                <c:ptCount val="1"/>
                <c:pt idx="0">
                  <c:v>CapEX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Summary!$C$11:$L$11</c:f>
              <c:numCache>
                <c:formatCode>General</c:formatCode>
                <c:ptCount val="10"/>
                <c:pt idx="2" formatCode="_ * #,##0_ ;_ * \-#,##0_ ;_ * &quot;-&quot;??_ ;_ @_ ">
                  <c:v>31186000000</c:v>
                </c:pt>
                <c:pt idx="3" formatCode="_ * #,##0_ ;_ * \-#,##0_ ;_ * &quot;-&quot;??_ ;_ @_ ">
                  <c:v>27045000000</c:v>
                </c:pt>
                <c:pt idx="4" formatCode="_ * #,##0_ ;_ * \-#,##0_ ;_ * &quot;-&quot;??_ ;_ @_ ">
                  <c:v>37256000000</c:v>
                </c:pt>
                <c:pt idx="5" formatCode="_ * #,##0_ ;_ * \-#,##0_ ;_ * &quot;-&quot;??_ ;_ @_ ">
                  <c:v>69691000000</c:v>
                </c:pt>
                <c:pt idx="6" formatCode="_ * #,##0_ ;_ * \-#,##0_ ;_ * &quot;-&quot;??_ ;_ @_ ">
                  <c:v>125000000000</c:v>
                </c:pt>
                <c:pt idx="7" formatCode="_ * #,##0_ ;_ * \-#,##0_ ;_ * &quot;-&quot;??_ ;_ @_ ">
                  <c:v>110000000000</c:v>
                </c:pt>
                <c:pt idx="8" formatCode="_ * #,##0_ ;_ * \-#,##0_ ;_ * &quot;-&quot;??_ ;_ @_ ">
                  <c:v>90000000000</c:v>
                </c:pt>
                <c:pt idx="9" formatCode="_ * #,##0_ ;_ * \-#,##0_ ;_ * &quot;-&quot;??_ ;_ @_ ">
                  <c:v>90000000000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B5-4967-8EBB-070835E07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8"/>
        <c:axId val="825905951"/>
        <c:axId val="825919871"/>
      </c:barChart>
      <c:lineChart>
        <c:grouping val="stacked"/>
        <c:varyColors val="0"/>
        <c:ser>
          <c:idx val="0"/>
          <c:order val="0"/>
          <c:tx>
            <c:strRef>
              <c:f>Summary!$B$10</c:f>
              <c:strCache>
                <c:ptCount val="1"/>
                <c:pt idx="0">
                  <c:v>Free Cash Flow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F0B5-4967-8EBB-070835E071BE}"/>
              </c:ext>
            </c:extLst>
          </c:dPt>
          <c:dPt>
            <c:idx val="1"/>
            <c:marker>
              <c:symbol val="none"/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0B5-4967-8EBB-070835E071BE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F0B5-4967-8EBB-070835E071BE}"/>
              </c:ext>
            </c:extLst>
          </c:dPt>
          <c:cat>
            <c:numRef>
              <c:f>(Summary!$C$3,Summary!$D$3,Summary!$E$2:$L$2)</c:f>
              <c:numCache>
                <c:formatCode>General</c:formatCode>
                <c:ptCount val="10"/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</c:numCache>
            </c:numRef>
          </c:cat>
          <c:val>
            <c:numRef>
              <c:f>Summary!$C$10:$L$10</c:f>
              <c:numCache>
                <c:formatCode>General</c:formatCode>
                <c:ptCount val="10"/>
                <c:pt idx="2" formatCode="_ * #,##0_ ;_ * \-#,##0_ ;_ * &quot;-&quot;??_ ;_ @_ ">
                  <c:v>19289000000</c:v>
                </c:pt>
                <c:pt idx="3" formatCode="_ * #,##0_ ;_ * \-#,##0_ ;_ * &quot;-&quot;??_ ;_ @_ ">
                  <c:v>44068000000</c:v>
                </c:pt>
                <c:pt idx="4" formatCode="_ * #,##0_ ;_ * \-#,##0_ ;_ * &quot;-&quot;??_ ;_ @_ ">
                  <c:v>54072000000</c:v>
                </c:pt>
                <c:pt idx="5" formatCode="_ * #,##0_ ;_ * \-#,##0_ ;_ * &quot;-&quot;??_ ;_ @_ ">
                  <c:v>46109000000</c:v>
                </c:pt>
                <c:pt idx="6" formatCode="_ * #,##0_ ;_ * \-#,##0_ ;_ * &quot;-&quot;??_ ;_ @_ ">
                  <c:v>38850918068.303772</c:v>
                </c:pt>
                <c:pt idx="7" formatCode="_ * #,##0_ ;_ * \-#,##0_ ;_ * &quot;-&quot;??_ ;_ @_ ">
                  <c:v>83687454634.683167</c:v>
                </c:pt>
                <c:pt idx="8" formatCode="_ * #,##0_ ;_ * \-#,##0_ ;_ * &quot;-&quot;??_ ;_ @_ ">
                  <c:v>144356815567.88965</c:v>
                </c:pt>
                <c:pt idx="9" formatCode="_ * #,##0_ ;_ * \-#,##0_ ;_ * &quot;-&quot;??_ ;_ @_ ">
                  <c:v>191913956158.40314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B5-4967-8EBB-070835E07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5905951"/>
        <c:axId val="825919871"/>
      </c:lineChart>
      <c:catAx>
        <c:axId val="8259059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919871"/>
        <c:crosses val="autoZero"/>
        <c:auto val="1"/>
        <c:lblAlgn val="ctr"/>
        <c:lblOffset val="100"/>
        <c:noMultiLvlLbl val="0"/>
      </c:catAx>
      <c:valAx>
        <c:axId val="825919871"/>
        <c:scaling>
          <c:orientation val="minMax"/>
          <c:max val="20000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905951"/>
        <c:crosses val="autoZero"/>
        <c:crossBetween val="between"/>
        <c:dispUnits>
          <c:builtInUnit val="b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1400" b="0" i="0" u="none" strike="noStrike" baseline="0"/>
              <a:t>Growth &amp; Profitability: Revenue vs. EBITDA Margin</a:t>
            </a:r>
            <a:endParaRPr lang="en-IN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Summary!$B$6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(Summary!$C$3,Summary!$D$3,Summary!$E$2:$L$2)</c:f>
              <c:numCache>
                <c:formatCode>General</c:formatCode>
                <c:ptCount val="10"/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</c:numCache>
            </c:numRef>
          </c:cat>
          <c:val>
            <c:numRef>
              <c:f>Summary!$C$6:$L$6</c:f>
              <c:numCache>
                <c:formatCode>General</c:formatCode>
                <c:ptCount val="10"/>
                <c:pt idx="2" formatCode="_ * #,##0_ ;_ * \-#,##0_ ;_ * &quot;-&quot;??_ ;_ @_ ">
                  <c:v>116609000000</c:v>
                </c:pt>
                <c:pt idx="3" formatCode="_ * #,##0_ ;_ * \-#,##0_ ;_ * &quot;-&quot;??_ ;_ @_ ">
                  <c:v>134902000000</c:v>
                </c:pt>
                <c:pt idx="4" formatCode="_ * #,##0_ ;_ * \-#,##0_ ;_ * &quot;-&quot;??_ ;_ @_ ">
                  <c:v>164501000000</c:v>
                </c:pt>
                <c:pt idx="5" formatCode="_ * #,##0_ ;_ * \-#,##0_ ;_ * &quot;-&quot;??_ ;_ @_ ">
                  <c:v>200966000000</c:v>
                </c:pt>
                <c:pt idx="6" formatCode="_ * #,##0_ ;_ * \-#,##0_ ;_ * &quot;-&quot;??_ ;_ @_ ">
                  <c:v>249197840000</c:v>
                </c:pt>
                <c:pt idx="7" formatCode="_ * #,##0_ ;_ * \-#,##0_ ;_ * &quot;-&quot;??_ ;_ @_ ">
                  <c:v>309005321600</c:v>
                </c:pt>
                <c:pt idx="8" formatCode="_ * #,##0_ ;_ * \-#,##0_ ;_ * &quot;-&quot;??_ ;_ @_ ">
                  <c:v>383166598784</c:v>
                </c:pt>
                <c:pt idx="9" formatCode="_ * #,##0_ ;_ * \-#,##0_ ;_ * &quot;-&quot;??_ ;_ @_ ">
                  <c:v>475126582492.15997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B1-4AA2-9253-8D201721D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overlap val="-27"/>
        <c:axId val="825908831"/>
        <c:axId val="825912671"/>
      </c:barChart>
      <c:lineChart>
        <c:grouping val="standard"/>
        <c:varyColors val="0"/>
        <c:ser>
          <c:idx val="1"/>
          <c:order val="1"/>
          <c:tx>
            <c:strRef>
              <c:f>Summary!$B$44</c:f>
              <c:strCache>
                <c:ptCount val="1"/>
                <c:pt idx="0">
                  <c:v>EBITDA Margin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Summary!$C$44:$L$44</c:f>
              <c:numCache>
                <c:formatCode>General</c:formatCode>
                <c:ptCount val="10"/>
                <c:pt idx="0">
                  <c:v>0</c:v>
                </c:pt>
                <c:pt idx="2" formatCode="0.00%">
                  <c:v>0.32321690435558148</c:v>
                </c:pt>
                <c:pt idx="3" formatCode="0.00%">
                  <c:v>0.43773998902907296</c:v>
                </c:pt>
                <c:pt idx="4" formatCode="0.00%">
                  <c:v>0.52811837010109364</c:v>
                </c:pt>
                <c:pt idx="5" formatCode="0.00%">
                  <c:v>0.52602430261835331</c:v>
                </c:pt>
                <c:pt idx="6" formatCode="0.00%">
                  <c:v>0.50100484828421887</c:v>
                </c:pt>
                <c:pt idx="7" formatCode="0.00%">
                  <c:v>0.50749333796629359</c:v>
                </c:pt>
                <c:pt idx="8" formatCode="0.00%">
                  <c:v>0.5013641014113589</c:v>
                </c:pt>
                <c:pt idx="9" formatCode="0.00%">
                  <c:v>0.49319725631110817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B1-4AA2-9253-8D201721D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5911711"/>
        <c:axId val="825906431"/>
      </c:lineChart>
      <c:catAx>
        <c:axId val="82590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912671"/>
        <c:crosses val="autoZero"/>
        <c:auto val="1"/>
        <c:lblAlgn val="ctr"/>
        <c:lblOffset val="100"/>
        <c:noMultiLvlLbl val="0"/>
      </c:catAx>
      <c:valAx>
        <c:axId val="825912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908831"/>
        <c:crosses val="autoZero"/>
        <c:crossBetween val="between"/>
        <c:dispUnits>
          <c:builtInUnit val="b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valAx>
        <c:axId val="825906431"/>
        <c:scaling>
          <c:orientation val="minMax"/>
        </c:scaling>
        <c:delete val="0"/>
        <c:axPos val="r"/>
        <c:numFmt formatCode="0.0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911711"/>
        <c:crosses val="max"/>
        <c:crossBetween val="between"/>
      </c:valAx>
      <c:catAx>
        <c:axId val="825911711"/>
        <c:scaling>
          <c:orientation val="minMax"/>
        </c:scaling>
        <c:delete val="1"/>
        <c:axPos val="b"/>
        <c:majorTickMark val="out"/>
        <c:minorTickMark val="none"/>
        <c:tickLblPos val="nextTo"/>
        <c:crossAx val="825906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2000"/>
              <a:t>Valuation</a:t>
            </a:r>
            <a:r>
              <a:rPr lang="en-IN" sz="2000" baseline="0"/>
              <a:t> Football Field : META</a:t>
            </a:r>
            <a:endParaRPr lang="en-IN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N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Valuation!$D$49</c:f>
              <c:strCache>
                <c:ptCount val="1"/>
                <c:pt idx="0">
                  <c:v>Low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Valuation!$C$50:$C$54</c:f>
              <c:strCache>
                <c:ptCount val="5"/>
                <c:pt idx="0">
                  <c:v>DCF (Your Model Price)</c:v>
                </c:pt>
                <c:pt idx="1">
                  <c:v>52-Week Range</c:v>
                </c:pt>
                <c:pt idx="2">
                  <c:v>Analyst Consensus</c:v>
                </c:pt>
                <c:pt idx="3">
                  <c:v>DCF (Your Model range)</c:v>
                </c:pt>
                <c:pt idx="4">
                  <c:v>Current Market Price</c:v>
                </c:pt>
              </c:strCache>
            </c:strRef>
          </c:cat>
          <c:val>
            <c:numRef>
              <c:f>Valuation!$D$50:$D$54</c:f>
              <c:numCache>
                <c:formatCode>0.00</c:formatCode>
                <c:ptCount val="5"/>
                <c:pt idx="0">
                  <c:v>522</c:v>
                </c:pt>
                <c:pt idx="1">
                  <c:v>479.8</c:v>
                </c:pt>
                <c:pt idx="2">
                  <c:v>600</c:v>
                </c:pt>
                <c:pt idx="3">
                  <c:v>438.87592078782387</c:v>
                </c:pt>
                <c:pt idx="4">
                  <c:v>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02-4DF3-A3CD-F93B79DC7358}"/>
            </c:ext>
          </c:extLst>
        </c:ser>
        <c:ser>
          <c:idx val="2"/>
          <c:order val="1"/>
          <c:tx>
            <c:strRef>
              <c:f>Valuation!$F$49</c:f>
              <c:strCache>
                <c:ptCount val="1"/>
                <c:pt idx="0">
                  <c:v>Range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602-4DF3-A3CD-F93B79DC7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602-4DF3-A3CD-F93B79DC7358}"/>
              </c:ext>
            </c:extLst>
          </c:dPt>
          <c:cat>
            <c:strRef>
              <c:f>Valuation!$C$50:$C$54</c:f>
              <c:strCache>
                <c:ptCount val="5"/>
                <c:pt idx="0">
                  <c:v>DCF (Your Model Price)</c:v>
                </c:pt>
                <c:pt idx="1">
                  <c:v>52-Week Range</c:v>
                </c:pt>
                <c:pt idx="2">
                  <c:v>Analyst Consensus</c:v>
                </c:pt>
                <c:pt idx="3">
                  <c:v>DCF (Your Model range)</c:v>
                </c:pt>
                <c:pt idx="4">
                  <c:v>Current Market Price</c:v>
                </c:pt>
              </c:strCache>
            </c:strRef>
          </c:cat>
          <c:val>
            <c:numRef>
              <c:f>Valuation!$F$50:$F$54</c:f>
              <c:numCache>
                <c:formatCode>0.00</c:formatCode>
                <c:ptCount val="5"/>
                <c:pt idx="0" formatCode="General">
                  <c:v>2</c:v>
                </c:pt>
                <c:pt idx="1">
                  <c:v>316.45</c:v>
                </c:pt>
                <c:pt idx="2">
                  <c:v>120</c:v>
                </c:pt>
                <c:pt idx="3">
                  <c:v>287.85236967782083</c:v>
                </c:pt>
                <c:pt idx="4" formatCode="General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02-4DF3-A3CD-F93B79DC7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overlap val="100"/>
        <c:axId val="575867807"/>
        <c:axId val="575856767"/>
      </c:barChart>
      <c:catAx>
        <c:axId val="5758678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5856767"/>
        <c:crosses val="autoZero"/>
        <c:auto val="1"/>
        <c:lblAlgn val="ctr"/>
        <c:lblOffset val="100"/>
        <c:noMultiLvlLbl val="0"/>
      </c:catAx>
      <c:valAx>
        <c:axId val="575856767"/>
        <c:scaling>
          <c:orientation val="minMax"/>
          <c:min val="400"/>
        </c:scaling>
        <c:delete val="0"/>
        <c:axPos val="b"/>
        <c:numFmt formatCode="0.00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5867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11</xdr:row>
      <xdr:rowOff>3810</xdr:rowOff>
    </xdr:from>
    <xdr:to>
      <xdr:col>12</xdr:col>
      <xdr:colOff>1</xdr:colOff>
      <xdr:row>25</xdr:row>
      <xdr:rowOff>87086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D2A5AD-D28A-BC03-9950-5081618883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130628</xdr:colOff>
      <xdr:row>24</xdr:row>
      <xdr:rowOff>180220</xdr:rowOff>
    </xdr:from>
    <xdr:to>
      <xdr:col>12</xdr:col>
      <xdr:colOff>30480</xdr:colOff>
      <xdr:row>38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DDCEAA5-0381-3A4F-A132-5D4FCD3645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68580</xdr:colOff>
      <xdr:row>48</xdr:row>
      <xdr:rowOff>57150</xdr:rowOff>
    </xdr:from>
    <xdr:to>
      <xdr:col>13</xdr:col>
      <xdr:colOff>114300</xdr:colOff>
      <xdr:row>63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AD71570-E594-06CA-56B6-536191A43E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506955</xdr:colOff>
      <xdr:row>23</xdr:row>
      <xdr:rowOff>116094</xdr:rowOff>
    </xdr:from>
    <xdr:to>
      <xdr:col>7</xdr:col>
      <xdr:colOff>1688054</xdr:colOff>
      <xdr:row>40</xdr:row>
      <xdr:rowOff>145005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C3D6863-BEEB-B208-D787-CD9A29D7D9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shishjangra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investor.atmeta.com/investor-news/press-release-details/2026/Meta-Reports-Fourth-Quarter-and-Full-Year-2025-Results/default.aspx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N43"/>
  <sheetViews>
    <sheetView showGridLines="0" tabSelected="1" zoomScaleNormal="100" workbookViewId="0">
      <selection activeCell="D30" sqref="D30:E30"/>
    </sheetView>
  </sheetViews>
  <sheetFormatPr defaultRowHeight="14.4" x14ac:dyDescent="0.3"/>
  <cols>
    <col min="2" max="2" width="4.88671875" customWidth="1"/>
    <col min="3" max="3" width="17.88671875" customWidth="1"/>
    <col min="4" max="14" width="13.6640625" customWidth="1"/>
  </cols>
  <sheetData>
    <row r="1" spans="1:14" ht="15" thickBot="1" x14ac:dyDescent="0.35">
      <c r="A1" s="1"/>
    </row>
    <row r="2" spans="1:14" x14ac:dyDescent="0.3">
      <c r="A2" s="2"/>
      <c r="B2" s="108" t="s">
        <v>201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</row>
    <row r="3" spans="1:14" x14ac:dyDescent="0.3">
      <c r="A3" s="2"/>
      <c r="B3" s="111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3"/>
    </row>
    <row r="4" spans="1:14" ht="15.6" x14ac:dyDescent="0.3">
      <c r="A4" s="2"/>
      <c r="B4" s="114" t="s">
        <v>202</v>
      </c>
      <c r="C4" s="115"/>
      <c r="D4" s="115"/>
      <c r="E4" s="115"/>
      <c r="F4" s="115"/>
      <c r="G4" s="115"/>
      <c r="H4" s="115"/>
      <c r="I4" s="115"/>
      <c r="J4" s="115"/>
      <c r="K4" s="115"/>
      <c r="L4" s="90"/>
      <c r="M4" s="89" t="s">
        <v>240</v>
      </c>
      <c r="N4" s="91" t="s">
        <v>239</v>
      </c>
    </row>
    <row r="5" spans="1:14" ht="15.6" x14ac:dyDescent="0.3">
      <c r="A5" s="2"/>
      <c r="B5" s="77">
        <v>1</v>
      </c>
      <c r="C5" s="7" t="s">
        <v>203</v>
      </c>
      <c r="N5" s="78"/>
    </row>
    <row r="6" spans="1:14" ht="14.4" customHeight="1" x14ac:dyDescent="0.3">
      <c r="A6" s="2"/>
      <c r="B6" s="79"/>
      <c r="C6" s="98" t="s">
        <v>204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99"/>
    </row>
    <row r="7" spans="1:14" x14ac:dyDescent="0.3">
      <c r="A7" s="2"/>
      <c r="B7" s="79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9"/>
    </row>
    <row r="8" spans="1:14" x14ac:dyDescent="0.3">
      <c r="B8" s="79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9"/>
    </row>
    <row r="9" spans="1:14" x14ac:dyDescent="0.3">
      <c r="A9" s="1"/>
      <c r="B9" s="79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9"/>
    </row>
    <row r="10" spans="1:14" x14ac:dyDescent="0.3">
      <c r="A10" s="2"/>
      <c r="B10" s="79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9"/>
    </row>
    <row r="11" spans="1:14" x14ac:dyDescent="0.3">
      <c r="A11" s="2"/>
      <c r="B11" s="79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9"/>
    </row>
    <row r="12" spans="1:14" ht="15.6" x14ac:dyDescent="0.3">
      <c r="A12" s="2"/>
      <c r="B12" s="77">
        <v>2</v>
      </c>
      <c r="C12" s="7" t="s">
        <v>205</v>
      </c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1"/>
    </row>
    <row r="13" spans="1:14" x14ac:dyDescent="0.3">
      <c r="A13" s="2"/>
      <c r="B13" s="79"/>
      <c r="C13" s="106" t="s">
        <v>206</v>
      </c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7"/>
    </row>
    <row r="14" spans="1:14" x14ac:dyDescent="0.3">
      <c r="B14" s="92" t="s">
        <v>241</v>
      </c>
      <c r="C14" s="86" t="s">
        <v>126</v>
      </c>
      <c r="D14" s="98" t="s">
        <v>207</v>
      </c>
      <c r="E14" s="98"/>
      <c r="F14" s="98"/>
      <c r="G14" s="98"/>
      <c r="H14" s="98"/>
      <c r="I14" s="98"/>
      <c r="J14" s="98"/>
      <c r="K14" s="98"/>
      <c r="L14" s="98"/>
      <c r="M14" s="98"/>
      <c r="N14" s="99"/>
    </row>
    <row r="15" spans="1:14" x14ac:dyDescent="0.3">
      <c r="B15" s="92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9"/>
    </row>
    <row r="16" spans="1:14" x14ac:dyDescent="0.3">
      <c r="B16" s="92" t="s">
        <v>242</v>
      </c>
      <c r="C16" s="86" t="s">
        <v>211</v>
      </c>
      <c r="D16" s="98" t="s">
        <v>212</v>
      </c>
      <c r="E16" s="98"/>
      <c r="F16" s="98"/>
      <c r="G16" s="98"/>
      <c r="H16" s="98"/>
      <c r="I16" s="98"/>
      <c r="J16" s="98"/>
      <c r="K16" s="98"/>
      <c r="L16" s="98"/>
      <c r="M16" s="98"/>
      <c r="N16" s="99"/>
    </row>
    <row r="17" spans="2:14" x14ac:dyDescent="0.3">
      <c r="B17" s="92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9"/>
    </row>
    <row r="18" spans="2:14" x14ac:dyDescent="0.3">
      <c r="B18" s="92" t="s">
        <v>243</v>
      </c>
      <c r="C18" s="86" t="s">
        <v>90</v>
      </c>
      <c r="D18" s="98" t="s">
        <v>208</v>
      </c>
      <c r="E18" s="98"/>
      <c r="F18" s="98"/>
      <c r="G18" s="98"/>
      <c r="H18" s="98"/>
      <c r="I18" s="98"/>
      <c r="J18" s="98"/>
      <c r="K18" s="98"/>
      <c r="L18" s="98"/>
      <c r="M18" s="98"/>
      <c r="N18" s="99"/>
    </row>
    <row r="19" spans="2:14" x14ac:dyDescent="0.3">
      <c r="B19" s="92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9"/>
    </row>
    <row r="20" spans="2:14" ht="15.6" x14ac:dyDescent="0.3">
      <c r="B20" s="92"/>
      <c r="C20" s="7" t="s">
        <v>210</v>
      </c>
      <c r="N20" s="78"/>
    </row>
    <row r="21" spans="2:14" x14ac:dyDescent="0.3">
      <c r="B21" s="92" t="s">
        <v>244</v>
      </c>
      <c r="C21" s="86" t="s">
        <v>0</v>
      </c>
      <c r="D21" s="98" t="s">
        <v>209</v>
      </c>
      <c r="E21" s="98"/>
      <c r="F21" s="98"/>
      <c r="G21" s="98"/>
      <c r="H21" s="98"/>
      <c r="I21" s="98"/>
      <c r="J21" s="98"/>
      <c r="K21" s="98"/>
      <c r="L21" s="98"/>
      <c r="M21" s="98"/>
      <c r="N21" s="99"/>
    </row>
    <row r="22" spans="2:14" x14ac:dyDescent="0.3">
      <c r="B22" s="92" t="s">
        <v>245</v>
      </c>
      <c r="C22" s="86" t="s">
        <v>3</v>
      </c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9"/>
    </row>
    <row r="23" spans="2:14" x14ac:dyDescent="0.3">
      <c r="B23" s="92" t="s">
        <v>246</v>
      </c>
      <c r="C23" s="86" t="s">
        <v>4</v>
      </c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9"/>
    </row>
    <row r="24" spans="2:14" x14ac:dyDescent="0.3">
      <c r="B24" s="92"/>
      <c r="N24" s="78"/>
    </row>
    <row r="25" spans="2:14" x14ac:dyDescent="0.3">
      <c r="B25" s="92" t="s">
        <v>247</v>
      </c>
      <c r="C25" s="86" t="s">
        <v>213</v>
      </c>
      <c r="D25" s="106" t="s">
        <v>214</v>
      </c>
      <c r="E25" s="106"/>
      <c r="F25" s="106"/>
      <c r="G25" s="106"/>
      <c r="H25" s="106"/>
      <c r="I25" s="106"/>
      <c r="J25" s="106"/>
      <c r="K25" s="106"/>
      <c r="L25" s="106"/>
      <c r="M25" s="106"/>
      <c r="N25" s="107"/>
    </row>
    <row r="26" spans="2:14" x14ac:dyDescent="0.3">
      <c r="B26" s="79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7"/>
    </row>
    <row r="27" spans="2:14" ht="15.6" x14ac:dyDescent="0.3">
      <c r="B27" s="77">
        <v>3</v>
      </c>
      <c r="C27" s="7" t="s">
        <v>215</v>
      </c>
      <c r="N27" s="78"/>
    </row>
    <row r="28" spans="2:14" x14ac:dyDescent="0.3">
      <c r="B28" s="79"/>
      <c r="C28" s="1" t="s">
        <v>216</v>
      </c>
      <c r="D28" s="1" t="s">
        <v>217</v>
      </c>
      <c r="E28" s="1"/>
      <c r="F28" s="1"/>
      <c r="G28" s="1" t="s">
        <v>156</v>
      </c>
      <c r="N28" s="78"/>
    </row>
    <row r="29" spans="2:14" x14ac:dyDescent="0.3">
      <c r="B29" s="79"/>
      <c r="C29" s="1" t="s">
        <v>91</v>
      </c>
      <c r="D29" s="104" t="s">
        <v>218</v>
      </c>
      <c r="E29" s="104"/>
      <c r="G29" s="96" t="s">
        <v>219</v>
      </c>
      <c r="H29" s="96"/>
      <c r="I29" s="96"/>
      <c r="J29" s="96"/>
      <c r="K29" s="96"/>
      <c r="L29" s="96"/>
      <c r="M29" s="96"/>
      <c r="N29" s="97"/>
    </row>
    <row r="30" spans="2:14" x14ac:dyDescent="0.3">
      <c r="B30" s="79"/>
      <c r="C30" s="1" t="s">
        <v>220</v>
      </c>
      <c r="D30" s="104" t="s">
        <v>227</v>
      </c>
      <c r="E30" s="104"/>
      <c r="G30" s="96" t="s">
        <v>221</v>
      </c>
      <c r="H30" s="96"/>
      <c r="I30" s="96"/>
      <c r="J30" s="96"/>
      <c r="K30" s="96"/>
      <c r="L30" s="96"/>
      <c r="M30" s="96"/>
      <c r="N30" s="97"/>
    </row>
    <row r="31" spans="2:14" x14ac:dyDescent="0.3">
      <c r="B31" s="79"/>
      <c r="C31" s="1" t="s">
        <v>222</v>
      </c>
      <c r="D31" s="104" t="s">
        <v>223</v>
      </c>
      <c r="E31" s="104"/>
      <c r="G31" s="96" t="s">
        <v>226</v>
      </c>
      <c r="H31" s="96"/>
      <c r="I31" s="96"/>
      <c r="J31" s="96"/>
      <c r="K31" s="96"/>
      <c r="L31" s="96"/>
      <c r="M31" s="96"/>
      <c r="N31" s="97"/>
    </row>
    <row r="32" spans="2:14" x14ac:dyDescent="0.3">
      <c r="B32" s="79"/>
      <c r="C32" s="1" t="s">
        <v>224</v>
      </c>
      <c r="D32" s="105">
        <v>9.5000000000000001E-2</v>
      </c>
      <c r="E32" s="105"/>
      <c r="G32" s="96" t="s">
        <v>225</v>
      </c>
      <c r="H32" s="96"/>
      <c r="I32" s="96"/>
      <c r="J32" s="96"/>
      <c r="K32" s="96"/>
      <c r="L32" s="96"/>
      <c r="M32" s="96"/>
      <c r="N32" s="97"/>
    </row>
    <row r="33" spans="2:14" x14ac:dyDescent="0.3">
      <c r="B33" s="79"/>
      <c r="N33" s="78"/>
    </row>
    <row r="34" spans="2:14" ht="15.6" x14ac:dyDescent="0.3">
      <c r="B34" s="77">
        <v>4</v>
      </c>
      <c r="C34" s="7" t="s">
        <v>228</v>
      </c>
      <c r="N34" s="78"/>
    </row>
    <row r="35" spans="2:14" x14ac:dyDescent="0.3">
      <c r="B35" s="79"/>
      <c r="C35" s="98" t="s">
        <v>229</v>
      </c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9"/>
    </row>
    <row r="36" spans="2:14" x14ac:dyDescent="0.3">
      <c r="B36" s="79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9"/>
    </row>
    <row r="37" spans="2:14" x14ac:dyDescent="0.3">
      <c r="B37" s="79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9"/>
    </row>
    <row r="38" spans="2:14" x14ac:dyDescent="0.3">
      <c r="B38" s="79"/>
      <c r="N38" s="78"/>
    </row>
    <row r="39" spans="2:14" ht="15.6" x14ac:dyDescent="0.3">
      <c r="B39" s="77">
        <v>5</v>
      </c>
      <c r="C39" s="7" t="s">
        <v>230</v>
      </c>
      <c r="N39" s="78"/>
    </row>
    <row r="40" spans="2:14" ht="14.4" customHeight="1" x14ac:dyDescent="0.3">
      <c r="B40" s="79"/>
      <c r="C40" s="1" t="s">
        <v>231</v>
      </c>
      <c r="D40" s="82" t="s">
        <v>235</v>
      </c>
      <c r="E40" s="102" t="s">
        <v>232</v>
      </c>
      <c r="F40" s="102"/>
      <c r="G40" s="102"/>
      <c r="H40" s="102"/>
      <c r="I40" s="102"/>
      <c r="J40" s="102"/>
      <c r="K40" s="102"/>
      <c r="L40" s="102"/>
      <c r="M40" s="102"/>
      <c r="N40" s="103"/>
    </row>
    <row r="41" spans="2:14" ht="14.4" customHeight="1" x14ac:dyDescent="0.3">
      <c r="B41" s="79"/>
      <c r="D41" s="83" t="s">
        <v>233</v>
      </c>
      <c r="E41" s="102" t="s">
        <v>234</v>
      </c>
      <c r="F41" s="102"/>
      <c r="G41" s="102"/>
      <c r="H41" s="102"/>
      <c r="I41" s="102"/>
      <c r="J41" s="102"/>
      <c r="K41" s="102"/>
      <c r="L41" s="102"/>
      <c r="M41" s="102"/>
      <c r="N41" s="103"/>
    </row>
    <row r="42" spans="2:14" x14ac:dyDescent="0.3">
      <c r="B42" s="79"/>
      <c r="C42" s="1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9"/>
    </row>
    <row r="43" spans="2:14" ht="15" thickBot="1" x14ac:dyDescent="0.35">
      <c r="B43" s="84"/>
      <c r="C43" s="85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1"/>
    </row>
  </sheetData>
  <mergeCells count="21">
    <mergeCell ref="D16:N17"/>
    <mergeCell ref="D25:N26"/>
    <mergeCell ref="D29:E29"/>
    <mergeCell ref="D30:E30"/>
    <mergeCell ref="B2:N3"/>
    <mergeCell ref="C6:N11"/>
    <mergeCell ref="C13:N13"/>
    <mergeCell ref="D14:N15"/>
    <mergeCell ref="B4:K4"/>
    <mergeCell ref="G29:N29"/>
    <mergeCell ref="G30:N30"/>
    <mergeCell ref="G31:N31"/>
    <mergeCell ref="G32:N32"/>
    <mergeCell ref="D18:N19"/>
    <mergeCell ref="D21:N23"/>
    <mergeCell ref="D42:N43"/>
    <mergeCell ref="C35:N37"/>
    <mergeCell ref="E40:N40"/>
    <mergeCell ref="E41:N41"/>
    <mergeCell ref="D31:E31"/>
    <mergeCell ref="D32:E32"/>
  </mergeCells>
  <hyperlinks>
    <hyperlink ref="C14" location="Summary!A1" display="Summary" xr:uid="{B984C079-955F-42AB-A8AB-77FFB3FE3815}"/>
    <hyperlink ref="C16" location="Valuation!A1" display="Valuation" xr:uid="{EA2F4E9C-0850-4F81-91EF-56BAD2DCBA59}"/>
    <hyperlink ref="C18" location="Assumptions!A1" display="Assumptions" xr:uid="{67B8BEB3-6BEB-4F53-AAFF-7AE9A761608C}"/>
    <hyperlink ref="C21" location="'Income Statement'!A1" display="Income Statement" xr:uid="{93944514-AC92-4622-8D34-2C9C638C8DF3}"/>
    <hyperlink ref="C22" location="'Cash Flow Statement'!A1" display="Cash Flow Statement" xr:uid="{6CBA2EC4-519F-4F1C-8F7F-FBE785ACFCCC}"/>
    <hyperlink ref="C23" location="'Balance Sheet'!A1" display="Balance Sheet" xr:uid="{A9582E7D-1186-4719-8BFA-36A397356715}"/>
    <hyperlink ref="C25" location="'Supporting schedule'!A1" display="Supporting Schedules" xr:uid="{1D5C9878-0ED2-4159-BA18-BA619918EAB0}"/>
    <hyperlink ref="N4" r:id="rId1" xr:uid="{1A2235F2-4D9B-488E-B05E-5908D86C3C44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13723-0104-4520-9AB7-15BFD819BD26}">
  <dimension ref="A1:L63"/>
  <sheetViews>
    <sheetView showGridLines="0" topLeftCell="B1" zoomScaleNormal="100" workbookViewId="0">
      <pane ySplit="2" topLeftCell="A3" activePane="bottomLeft" state="frozen"/>
      <selection activeCell="G24" sqref="G24"/>
      <selection pane="bottomLeft" activeCell="I11" sqref="I11"/>
    </sheetView>
  </sheetViews>
  <sheetFormatPr defaultRowHeight="14.4" x14ac:dyDescent="0.3"/>
  <cols>
    <col min="1" max="1" width="2.33203125" customWidth="1"/>
    <col min="2" max="2" width="20.21875" customWidth="1"/>
    <col min="3" max="3" width="11.5546875" customWidth="1"/>
    <col min="4" max="4" width="7.21875" customWidth="1"/>
    <col min="5" max="12" width="18.77734375" customWidth="1"/>
  </cols>
  <sheetData>
    <row r="1" spans="1:12" ht="21" customHeight="1" x14ac:dyDescent="0.4">
      <c r="A1" s="87"/>
      <c r="B1" s="119" t="s">
        <v>236</v>
      </c>
      <c r="C1" s="119"/>
      <c r="D1" s="119"/>
      <c r="E1" s="116" t="s">
        <v>1</v>
      </c>
      <c r="F1" s="116"/>
      <c r="G1" s="116"/>
      <c r="H1" s="116"/>
      <c r="I1" s="117" t="s">
        <v>2</v>
      </c>
      <c r="J1" s="117"/>
      <c r="K1" s="117"/>
      <c r="L1" s="117"/>
    </row>
    <row r="2" spans="1:12" ht="37.200000000000003" customHeight="1" x14ac:dyDescent="0.4">
      <c r="A2" s="118" t="s">
        <v>126</v>
      </c>
      <c r="B2" s="118"/>
      <c r="C2" s="118"/>
      <c r="D2" s="118"/>
      <c r="E2" s="4">
        <v>2022</v>
      </c>
      <c r="F2" s="4">
        <v>2023</v>
      </c>
      <c r="G2" s="4">
        <v>2024</v>
      </c>
      <c r="H2" s="4">
        <v>2025</v>
      </c>
      <c r="I2" s="3">
        <v>2026</v>
      </c>
      <c r="J2" s="3">
        <v>2027</v>
      </c>
      <c r="K2" s="3">
        <v>2028</v>
      </c>
      <c r="L2" s="3">
        <v>2029</v>
      </c>
    </row>
    <row r="5" spans="1:12" ht="15.6" x14ac:dyDescent="0.3">
      <c r="A5" s="13" t="s">
        <v>141</v>
      </c>
      <c r="B5" s="14"/>
      <c r="C5" s="51"/>
      <c r="D5" s="51"/>
      <c r="E5" s="51"/>
      <c r="F5" s="51"/>
      <c r="G5" s="51"/>
      <c r="H5" s="51"/>
      <c r="I5" s="51"/>
      <c r="J5" s="51"/>
      <c r="K5" s="51"/>
      <c r="L5" s="51"/>
    </row>
    <row r="6" spans="1:12" ht="15.6" x14ac:dyDescent="0.3">
      <c r="A6" s="12"/>
      <c r="B6" s="11" t="s">
        <v>5</v>
      </c>
      <c r="C6" s="40"/>
      <c r="D6" s="40"/>
      <c r="E6" s="41">
        <f>'Income Statement'!E5</f>
        <v>116609000000</v>
      </c>
      <c r="F6" s="41">
        <f>'Income Statement'!F5</f>
        <v>134902000000</v>
      </c>
      <c r="G6" s="41">
        <f>'Income Statement'!G5</f>
        <v>164501000000</v>
      </c>
      <c r="H6" s="41">
        <f>'Income Statement'!H5</f>
        <v>200966000000</v>
      </c>
      <c r="I6" s="42">
        <f>'Income Statement'!I5</f>
        <v>249197840000</v>
      </c>
      <c r="J6" s="42">
        <f>'Income Statement'!J5</f>
        <v>309005321600</v>
      </c>
      <c r="K6" s="42">
        <f>'Income Statement'!K5</f>
        <v>383166598784</v>
      </c>
      <c r="L6" s="42">
        <f>'Income Statement'!L5</f>
        <v>475126582492.15997</v>
      </c>
    </row>
    <row r="7" spans="1:12" ht="15.6" x14ac:dyDescent="0.3">
      <c r="A7" s="8"/>
      <c r="B7" s="7" t="s">
        <v>91</v>
      </c>
      <c r="E7" s="43" t="s">
        <v>143</v>
      </c>
      <c r="F7" s="43">
        <f>'Income Statement'!F5/'Income Statement'!E5-1</f>
        <v>0.15687468377226454</v>
      </c>
      <c r="G7" s="43">
        <f>'Income Statement'!G5/'Income Statement'!F5-1</f>
        <v>0.21941112807816054</v>
      </c>
      <c r="H7" s="43">
        <f>'Income Statement'!H5/'Income Statement'!G5-1</f>
        <v>0.22167038498246217</v>
      </c>
      <c r="I7" s="44">
        <f>'Income Statement'!I5/'Income Statement'!H5-1</f>
        <v>0.24</v>
      </c>
      <c r="J7" s="44">
        <f>'Income Statement'!J5/'Income Statement'!I5-1</f>
        <v>0.24</v>
      </c>
      <c r="K7" s="44">
        <f>'Income Statement'!K5/'Income Statement'!J5-1</f>
        <v>0.24</v>
      </c>
      <c r="L7" s="44">
        <f>'Income Statement'!L5/'Income Statement'!K5-1</f>
        <v>0.24</v>
      </c>
    </row>
    <row r="8" spans="1:12" ht="15.6" x14ac:dyDescent="0.3">
      <c r="A8" s="8"/>
      <c r="B8" s="7" t="s">
        <v>16</v>
      </c>
      <c r="D8" s="45"/>
      <c r="E8" s="46">
        <f>'Income Statement'!E20</f>
        <v>23200000000</v>
      </c>
      <c r="F8" s="46">
        <f>'Income Statement'!F20</f>
        <v>39098000000</v>
      </c>
      <c r="G8" s="46">
        <f>'Income Statement'!G20</f>
        <v>62360000000</v>
      </c>
      <c r="H8" s="46">
        <f>'Income Statement'!H20</f>
        <v>60458000000</v>
      </c>
      <c r="I8" s="47">
        <f ca="1">'Income Statement'!I20</f>
        <v>74109668817.564056</v>
      </c>
      <c r="J8" s="47">
        <f ca="1">'Income Statement'!J20</f>
        <v>92720910486.505646</v>
      </c>
      <c r="K8" s="47">
        <f ca="1">'Income Statement'!K20</f>
        <v>116331268712.14949</v>
      </c>
      <c r="L8" s="47">
        <f ca="1">'Income Statement'!L20</f>
        <v>145905949156.48535</v>
      </c>
    </row>
    <row r="9" spans="1:12" ht="15.6" x14ac:dyDescent="0.3">
      <c r="A9" s="8"/>
      <c r="B9" s="7" t="s">
        <v>27</v>
      </c>
      <c r="E9" s="46">
        <f>'Cash Flow Statement'!E23</f>
        <v>50475000000</v>
      </c>
      <c r="F9" s="46">
        <f>'Cash Flow Statement'!F23</f>
        <v>71113000000</v>
      </c>
      <c r="G9" s="46">
        <f>'Cash Flow Statement'!G23</f>
        <v>91328000000</v>
      </c>
      <c r="H9" s="46">
        <f>'Cash Flow Statement'!H23</f>
        <v>115800000000</v>
      </c>
      <c r="I9" s="47">
        <f ca="1">'Cash Flow Statement'!I23</f>
        <v>163850918068.30377</v>
      </c>
      <c r="J9" s="47">
        <f ca="1">'Cash Flow Statement'!J23</f>
        <v>193687454634.68317</v>
      </c>
      <c r="K9" s="47">
        <f ca="1">'Cash Flow Statement'!K23</f>
        <v>234356815567.88965</v>
      </c>
      <c r="L9" s="47">
        <f ca="1">'Cash Flow Statement'!L23</f>
        <v>281913956158.40314</v>
      </c>
    </row>
    <row r="10" spans="1:12" ht="15.6" x14ac:dyDescent="0.3">
      <c r="A10" s="8"/>
      <c r="B10" s="7" t="s">
        <v>142</v>
      </c>
      <c r="E10" s="46">
        <f>'Cash Flow Statement'!E23+'Cash Flow Statement'!E28</f>
        <v>19289000000</v>
      </c>
      <c r="F10" s="46">
        <f>'Cash Flow Statement'!F23+'Cash Flow Statement'!F28</f>
        <v>44068000000</v>
      </c>
      <c r="G10" s="46">
        <f>'Cash Flow Statement'!G23+'Cash Flow Statement'!G28</f>
        <v>54072000000</v>
      </c>
      <c r="H10" s="46">
        <f>'Cash Flow Statement'!H23+'Cash Flow Statement'!H28</f>
        <v>46109000000</v>
      </c>
      <c r="I10" s="47">
        <f ca="1">'Cash Flow Statement'!I23+'Cash Flow Statement'!I28</f>
        <v>38850918068.303772</v>
      </c>
      <c r="J10" s="47">
        <f ca="1">'Cash Flow Statement'!J23+'Cash Flow Statement'!J28</f>
        <v>83687454634.683167</v>
      </c>
      <c r="K10" s="47">
        <f ca="1">'Cash Flow Statement'!K23+'Cash Flow Statement'!K28</f>
        <v>144356815567.88965</v>
      </c>
      <c r="L10" s="47">
        <f ca="1">'Cash Flow Statement'!L23+'Cash Flow Statement'!L28</f>
        <v>191913956158.40314</v>
      </c>
    </row>
    <row r="11" spans="1:12" ht="15.6" x14ac:dyDescent="0.3">
      <c r="A11" s="8"/>
      <c r="B11" s="7" t="s">
        <v>200</v>
      </c>
      <c r="E11" s="46">
        <f>-Assumptions!E13</f>
        <v>31186000000</v>
      </c>
      <c r="F11" s="46">
        <f>-Assumptions!F13</f>
        <v>27045000000</v>
      </c>
      <c r="G11" s="46">
        <f>-Assumptions!G13</f>
        <v>37256000000</v>
      </c>
      <c r="H11" s="46">
        <f>-Assumptions!H13</f>
        <v>69691000000</v>
      </c>
      <c r="I11" s="47">
        <f>-Assumptions!I13</f>
        <v>125000000000</v>
      </c>
      <c r="J11" s="47">
        <f>-Assumptions!J13</f>
        <v>110000000000</v>
      </c>
      <c r="K11" s="47">
        <f>-Assumptions!K13</f>
        <v>90000000000</v>
      </c>
      <c r="L11" s="47">
        <f>-Assumptions!L13</f>
        <v>90000000000</v>
      </c>
    </row>
    <row r="12" spans="1:12" ht="15.6" x14ac:dyDescent="0.3">
      <c r="A12" s="8"/>
      <c r="B12" s="8"/>
    </row>
    <row r="39" spans="1:12" x14ac:dyDescent="0.3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</row>
    <row r="42" spans="1:12" ht="15.6" x14ac:dyDescent="0.3">
      <c r="A42" s="13" t="s">
        <v>127</v>
      </c>
      <c r="B42" s="14"/>
      <c r="C42" s="13" t="s">
        <v>128</v>
      </c>
      <c r="D42" s="51"/>
      <c r="E42" s="51"/>
      <c r="F42" s="51"/>
      <c r="G42" s="51"/>
      <c r="H42" s="51"/>
      <c r="I42" s="51"/>
      <c r="J42" s="51"/>
      <c r="K42" s="51"/>
      <c r="L42" s="51"/>
    </row>
    <row r="43" spans="1:12" ht="15.6" x14ac:dyDescent="0.3">
      <c r="A43" s="12"/>
      <c r="B43" s="11" t="s">
        <v>129</v>
      </c>
      <c r="C43" s="12" t="s">
        <v>130</v>
      </c>
      <c r="D43" s="40"/>
      <c r="E43" s="49">
        <f>'Income Statement'!E7/'Income Statement'!E5</f>
        <v>0.78347297378418479</v>
      </c>
      <c r="F43" s="49">
        <f>'Income Statement'!F7/'Income Statement'!F5</f>
        <v>0.8075714222176098</v>
      </c>
      <c r="G43" s="49">
        <f>'Income Statement'!G7/'Income Statement'!G5</f>
        <v>0.81665157050717019</v>
      </c>
      <c r="H43" s="49">
        <f>'Income Statement'!H7/'Income Statement'!H5</f>
        <v>0.81999442691798607</v>
      </c>
      <c r="I43" s="50">
        <f>'Income Statement'!I7/'Income Statement'!I5</f>
        <v>0.8</v>
      </c>
      <c r="J43" s="50">
        <f>'Income Statement'!J7/'Income Statement'!J5</f>
        <v>0.8</v>
      </c>
      <c r="K43" s="50">
        <f>'Income Statement'!K7/'Income Statement'!K5</f>
        <v>0.8</v>
      </c>
      <c r="L43" s="50">
        <f>'Income Statement'!L7/'Income Statement'!L5</f>
        <v>0.79999999999999993</v>
      </c>
    </row>
    <row r="44" spans="1:12" ht="15.6" x14ac:dyDescent="0.3">
      <c r="A44" s="8"/>
      <c r="B44" s="7" t="s">
        <v>131</v>
      </c>
      <c r="C44" s="8" t="s">
        <v>132</v>
      </c>
      <c r="E44" s="43">
        <f>'Income Statement'!E24/'Income Statement'!E5</f>
        <v>0.32321690435558148</v>
      </c>
      <c r="F44" s="43">
        <f>'Income Statement'!F24/'Income Statement'!F5</f>
        <v>0.43773998902907296</v>
      </c>
      <c r="G44" s="43">
        <f>'Income Statement'!G24/'Income Statement'!G5</f>
        <v>0.52811837010109364</v>
      </c>
      <c r="H44" s="43">
        <f>'Income Statement'!H24/'Income Statement'!H5</f>
        <v>0.52602430261835331</v>
      </c>
      <c r="I44" s="44">
        <f ca="1">'Income Statement'!I24/'Income Statement'!I5</f>
        <v>0.50100484828421887</v>
      </c>
      <c r="J44" s="44">
        <f ca="1">'Income Statement'!J24/'Income Statement'!J5</f>
        <v>0.50749333796629359</v>
      </c>
      <c r="K44" s="44">
        <f ca="1">'Income Statement'!K24/'Income Statement'!K5</f>
        <v>0.5013641014113589</v>
      </c>
      <c r="L44" s="44">
        <f ca="1">'Income Statement'!L24/'Income Statement'!L5</f>
        <v>0.49319725631110817</v>
      </c>
    </row>
    <row r="45" spans="1:12" ht="15.6" x14ac:dyDescent="0.3">
      <c r="A45" s="8"/>
      <c r="B45" s="7" t="s">
        <v>133</v>
      </c>
      <c r="C45" s="8" t="s">
        <v>134</v>
      </c>
      <c r="E45" s="43">
        <f>'Income Statement'!E20/AVERAGE('Balance Sheet'!E44)</f>
        <v>0.18454734196145187</v>
      </c>
      <c r="F45" s="43">
        <f>'Income Statement'!F20/AVERAGE('Balance Sheet'!E44:F44)</f>
        <v>0.2803919951520541</v>
      </c>
      <c r="G45" s="43">
        <f>'Income Statement'!G20/AVERAGE('Balance Sheet'!F44:G44)</f>
        <v>0.37140602432959602</v>
      </c>
      <c r="H45" s="43">
        <f>'Income Statement'!H20/AVERAGE('Balance Sheet'!G44:H44)</f>
        <v>0.30238071421426427</v>
      </c>
      <c r="I45" s="44">
        <f ca="1">'Income Statement'!I20/AVERAGE('Balance Sheet'!H44:I44)</f>
        <v>0.28235390431680568</v>
      </c>
      <c r="J45" s="44">
        <f ca="1">'Income Statement'!J20/AVERAGE('Balance Sheet'!I44:J44)</f>
        <v>0.2522909261320328</v>
      </c>
      <c r="K45" s="44">
        <f ca="1">'Income Statement'!K20/AVERAGE('Balance Sheet'!J44:K44)</f>
        <v>0.23165027402748198</v>
      </c>
      <c r="L45" s="44">
        <f ca="1">'Income Statement'!L20/AVERAGE('Balance Sheet'!K44:L44)</f>
        <v>0.21754902135868115</v>
      </c>
    </row>
    <row r="46" spans="1:12" ht="15.6" x14ac:dyDescent="0.3">
      <c r="A46" s="8"/>
      <c r="B46" s="7" t="s">
        <v>135</v>
      </c>
      <c r="C46" s="8" t="s">
        <v>136</v>
      </c>
      <c r="E46" s="52">
        <f>('Balance Sheet'!E8/'Income Statement'!E5)*365</f>
        <v>42.150177087531837</v>
      </c>
      <c r="F46" s="52">
        <f>('Balance Sheet'!F8/'Income Statement'!F5)*365</f>
        <v>43.747942951179375</v>
      </c>
      <c r="G46" s="52">
        <f>('Balance Sheet'!G8/'Income Statement'!G5)*365</f>
        <v>37.706822450927348</v>
      </c>
      <c r="H46" s="52">
        <f>('Balance Sheet'!H8/'Income Statement'!H5)*365</f>
        <v>35.905003831493886</v>
      </c>
      <c r="I46" s="53">
        <f>('Balance Sheet'!I8/'Income Statement'!I5)*365</f>
        <v>40</v>
      </c>
      <c r="J46" s="53">
        <f>('Balance Sheet'!J8/'Income Statement'!J5)*365</f>
        <v>40</v>
      </c>
      <c r="K46" s="53">
        <f>('Balance Sheet'!K8/'Income Statement'!K5)*365</f>
        <v>40</v>
      </c>
      <c r="L46" s="53">
        <f>('Balance Sheet'!L8/'Income Statement'!L5)*365</f>
        <v>40</v>
      </c>
    </row>
    <row r="47" spans="1:12" ht="15.6" x14ac:dyDescent="0.3">
      <c r="A47" s="8"/>
      <c r="B47" s="7" t="s">
        <v>137</v>
      </c>
      <c r="C47" s="8" t="s">
        <v>138</v>
      </c>
      <c r="E47" s="43">
        <f>('Balance Sheet'!E37-'Cash Flow Statement'!E49)/'Income Statement'!E24</f>
        <v>-0.15051737861501724</v>
      </c>
      <c r="F47" s="43">
        <f>('Balance Sheet'!F37-'Cash Flow Statement'!F49)/'Income Statement'!F24</f>
        <v>-0.41390638759059811</v>
      </c>
      <c r="G47" s="43">
        <f>('Balance Sheet'!G37-'Cash Flow Statement'!G49)/'Income Statement'!G24</f>
        <v>-0.19121506515032921</v>
      </c>
      <c r="H47" s="43">
        <f>('Balance Sheet'!H37-'Cash Flow Statement'!H49)/'Income Statement'!H24</f>
        <v>0.18582388164180375</v>
      </c>
      <c r="I47" s="44">
        <f ca="1">('Balance Sheet'!I37-'Cash Flow Statement'!I49)/'Income Statement'!I24</f>
        <v>-8.5973549159698445E-2</v>
      </c>
      <c r="J47" s="44">
        <f ca="1">('Balance Sheet'!J37-'Cash Flow Statement'!J49)/'Income Statement'!J24</f>
        <v>-0.52979291789912508</v>
      </c>
      <c r="K47" s="44">
        <f ca="1">('Balance Sheet'!K37-'Cash Flow Statement'!K49)/'Income Statement'!K24</f>
        <v>-1.1261819829530708</v>
      </c>
      <c r="L47" s="44">
        <f ca="1">('Balance Sheet'!L37-'Cash Flow Statement'!L49)/'Income Statement'!L24</f>
        <v>-1.6966119110356144</v>
      </c>
    </row>
    <row r="48" spans="1:12" ht="15.6" x14ac:dyDescent="0.3">
      <c r="A48" s="8"/>
      <c r="B48" s="7" t="s">
        <v>139</v>
      </c>
      <c r="C48" s="8" t="s">
        <v>140</v>
      </c>
      <c r="E48" s="43">
        <f>Summary!E10/'Income Statement'!E24</f>
        <v>0.51178031308039262</v>
      </c>
      <c r="F48" s="43">
        <f>Summary!F10/'Income Statement'!F24</f>
        <v>0.74625753573121989</v>
      </c>
      <c r="G48" s="43">
        <f>Summary!G10/'Income Statement'!G24</f>
        <v>0.62240434642478937</v>
      </c>
      <c r="H48" s="43">
        <f>Summary!H10/'Income Statement'!H24</f>
        <v>0.43617152100498519</v>
      </c>
      <c r="I48" s="44">
        <f ca="1">Summary!I10/'Income Statement'!I24</f>
        <v>0.31118244131707801</v>
      </c>
      <c r="J48" s="44">
        <f ca="1">Summary!J10/'Income Statement'!J24</f>
        <v>0.53365926613884695</v>
      </c>
      <c r="K48" s="44">
        <f ca="1">Summary!K10/'Income Statement'!K24</f>
        <v>0.75144364300305888</v>
      </c>
      <c r="L48" s="44">
        <f ca="1">Summary!L10/'Income Statement'!L24</f>
        <v>0.81898618723448413</v>
      </c>
    </row>
    <row r="63" spans="1:12" x14ac:dyDescent="0.3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</row>
  </sheetData>
  <mergeCells count="4">
    <mergeCell ref="E1:H1"/>
    <mergeCell ref="I1:L1"/>
    <mergeCell ref="A2:D2"/>
    <mergeCell ref="B1:D1"/>
  </mergeCells>
  <hyperlinks>
    <hyperlink ref="B1:D1" location="Readme!A1" display="&lt;&lt; Back to home" xr:uid="{94A9EDB2-82CE-4A19-969F-DAE6318CF18E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506FF-E933-4EFD-9ACA-A418F7FD2B17}">
  <dimension ref="A1:H54"/>
  <sheetViews>
    <sheetView showGridLines="0" zoomScale="90" zoomScaleNormal="90" workbookViewId="0">
      <pane ySplit="2" topLeftCell="A29" activePane="bottomLeft" state="frozen"/>
      <selection activeCell="G24" sqref="G24"/>
      <selection pane="bottomLeft" activeCell="G44" sqref="G44"/>
    </sheetView>
  </sheetViews>
  <sheetFormatPr defaultRowHeight="14.4" x14ac:dyDescent="0.3"/>
  <cols>
    <col min="1" max="1" width="2.44140625" customWidth="1"/>
    <col min="2" max="2" width="3.5546875" customWidth="1"/>
    <col min="3" max="3" width="39.33203125" customWidth="1"/>
    <col min="4" max="4" width="21.5546875" customWidth="1"/>
    <col min="5" max="8" width="33.109375" customWidth="1"/>
  </cols>
  <sheetData>
    <row r="1" spans="1:8" ht="21" customHeight="1" x14ac:dyDescent="0.4">
      <c r="A1" s="87"/>
      <c r="B1" s="119" t="s">
        <v>236</v>
      </c>
      <c r="C1" s="119"/>
      <c r="D1" s="119"/>
      <c r="E1" s="117" t="s">
        <v>2</v>
      </c>
      <c r="F1" s="117"/>
      <c r="G1" s="117"/>
      <c r="H1" s="117"/>
    </row>
    <row r="2" spans="1:8" ht="37.200000000000003" customHeight="1" x14ac:dyDescent="0.4">
      <c r="A2" s="118" t="s">
        <v>211</v>
      </c>
      <c r="B2" s="118"/>
      <c r="C2" s="118"/>
      <c r="D2" s="118"/>
      <c r="E2" s="3">
        <v>2026</v>
      </c>
      <c r="F2" s="3">
        <v>2027</v>
      </c>
      <c r="G2" s="3">
        <v>2028</v>
      </c>
      <c r="H2" s="3">
        <v>2029</v>
      </c>
    </row>
    <row r="5" spans="1:8" ht="15.6" x14ac:dyDescent="0.3">
      <c r="B5" s="7" t="s">
        <v>153</v>
      </c>
    </row>
    <row r="6" spans="1:8" ht="15.6" x14ac:dyDescent="0.3">
      <c r="C6" s="8" t="s">
        <v>146</v>
      </c>
      <c r="D6" s="8"/>
      <c r="E6" s="21">
        <f ca="1">'Income Statement'!I26</f>
        <v>94636966021.955063</v>
      </c>
      <c r="F6" s="21">
        <f ca="1">'Income Statement'!J26</f>
        <v>118627018108.13205</v>
      </c>
      <c r="G6" s="21">
        <f ca="1">'Income Statement'!K26</f>
        <v>148733965890.18686</v>
      </c>
      <c r="H6" s="21">
        <f ca="1">'Income Statement'!L26</f>
        <v>186296316445.60669</v>
      </c>
    </row>
    <row r="7" spans="1:8" ht="15.6" x14ac:dyDescent="0.3">
      <c r="B7" s="48"/>
      <c r="C7" s="8" t="s">
        <v>147</v>
      </c>
      <c r="D7" s="8"/>
      <c r="E7" s="21">
        <f ca="1">-E6*Assumptions!I9</f>
        <v>-18927393204.391014</v>
      </c>
      <c r="F7" s="21">
        <f ca="1">-F6*Assumptions!J9</f>
        <v>-23725403621.626411</v>
      </c>
      <c r="G7" s="21">
        <f ca="1">-G6*Assumptions!K9</f>
        <v>-29746793178.037373</v>
      </c>
      <c r="H7" s="21">
        <f ca="1">-H6*Assumptions!L9</f>
        <v>-37259263289.121338</v>
      </c>
    </row>
    <row r="8" spans="1:8" ht="15.6" x14ac:dyDescent="0.3">
      <c r="C8" s="11" t="s">
        <v>148</v>
      </c>
      <c r="D8" s="11"/>
      <c r="E8" s="23">
        <f ca="1">SUM(E6:E7)</f>
        <v>75709572817.564056</v>
      </c>
      <c r="F8" s="23">
        <f t="shared" ref="F8:H8" ca="1" si="0">SUM(F6:F7)</f>
        <v>94901614486.505646</v>
      </c>
      <c r="G8" s="23">
        <f t="shared" ca="1" si="0"/>
        <v>118987172712.14949</v>
      </c>
      <c r="H8" s="23">
        <f t="shared" ca="1" si="0"/>
        <v>149037053156.48535</v>
      </c>
    </row>
    <row r="9" spans="1:8" ht="15.6" x14ac:dyDescent="0.3">
      <c r="C9" s="8"/>
      <c r="D9" s="8"/>
      <c r="E9" s="25"/>
      <c r="F9" s="25"/>
      <c r="G9" s="25"/>
      <c r="H9" s="25"/>
    </row>
    <row r="10" spans="1:8" ht="15.6" x14ac:dyDescent="0.3">
      <c r="C10" s="8" t="s">
        <v>149</v>
      </c>
      <c r="D10" s="8"/>
      <c r="E10" s="21">
        <f>'Income Statement'!I23</f>
        <v>30212360000</v>
      </c>
      <c r="F10" s="21">
        <f>'Income Statement'!J23</f>
        <v>38191124000</v>
      </c>
      <c r="G10" s="21">
        <f>'Income Statement'!K23</f>
        <v>43372011600</v>
      </c>
      <c r="H10" s="21">
        <f>'Income Statement'!L23</f>
        <v>48034810440</v>
      </c>
    </row>
    <row r="11" spans="1:8" ht="15.6" x14ac:dyDescent="0.3">
      <c r="C11" s="8" t="s">
        <v>150</v>
      </c>
      <c r="D11" s="8"/>
      <c r="E11" s="21">
        <f>Assumptions!I13</f>
        <v>-125000000000</v>
      </c>
      <c r="F11" s="21">
        <f>Assumptions!J13</f>
        <v>-110000000000</v>
      </c>
      <c r="G11" s="21">
        <f>Assumptions!K13</f>
        <v>-90000000000</v>
      </c>
      <c r="H11" s="21">
        <f>Assumptions!L13</f>
        <v>-90000000000</v>
      </c>
    </row>
    <row r="12" spans="1:8" ht="15.6" x14ac:dyDescent="0.3">
      <c r="C12" s="8" t="s">
        <v>151</v>
      </c>
      <c r="D12" s="8"/>
      <c r="E12" s="21">
        <f>SUM('Cash Flow Statement'!I16:I21)</f>
        <v>19012973250.739731</v>
      </c>
      <c r="F12" s="21">
        <f>SUM('Cash Flow Statement'!J16:J21)</f>
        <v>5309154228.177536</v>
      </c>
      <c r="G12" s="21">
        <f>SUM('Cash Flow Statement'!K16:K21)</f>
        <v>6583351242.9401665</v>
      </c>
      <c r="H12" s="21">
        <f>SUM('Cash Flow Statement'!L16:L21)</f>
        <v>8163355541.2457542</v>
      </c>
    </row>
    <row r="13" spans="1:8" ht="15.6" x14ac:dyDescent="0.3">
      <c r="B13" s="51"/>
      <c r="C13" s="13" t="s">
        <v>152</v>
      </c>
      <c r="D13" s="14"/>
      <c r="E13" s="24">
        <f ca="1">SUM(E10:E12,E8)</f>
        <v>-65093931.696212769</v>
      </c>
      <c r="F13" s="24">
        <f ca="1">SUM(F10:F12,F8)</f>
        <v>28401892714.683182</v>
      </c>
      <c r="G13" s="24">
        <f ca="1">SUM(G10:G12,G8)</f>
        <v>78942535555.089661</v>
      </c>
      <c r="H13" s="24">
        <f ca="1">SUM(H10:H12,H8)</f>
        <v>115235219137.73111</v>
      </c>
    </row>
    <row r="15" spans="1:8" ht="15.6" x14ac:dyDescent="0.3">
      <c r="B15" s="7" t="s">
        <v>167</v>
      </c>
      <c r="C15" s="8"/>
      <c r="D15" s="8"/>
      <c r="E15" s="8"/>
    </row>
    <row r="16" spans="1:8" ht="15.6" x14ac:dyDescent="0.3">
      <c r="B16" s="12"/>
      <c r="C16" s="11" t="s">
        <v>154</v>
      </c>
      <c r="D16" s="55" t="s">
        <v>155</v>
      </c>
      <c r="E16" s="11" t="s">
        <v>156</v>
      </c>
    </row>
    <row r="17" spans="2:5" ht="15.6" x14ac:dyDescent="0.3">
      <c r="B17" s="8"/>
      <c r="C17" s="8" t="s">
        <v>169</v>
      </c>
      <c r="D17" s="70">
        <v>0.04</v>
      </c>
      <c r="E17" t="s">
        <v>157</v>
      </c>
    </row>
    <row r="18" spans="2:5" ht="15.6" x14ac:dyDescent="0.3">
      <c r="B18" s="8"/>
      <c r="C18" s="8" t="s">
        <v>168</v>
      </c>
      <c r="D18" s="71">
        <v>1.2</v>
      </c>
      <c r="E18" t="s">
        <v>158</v>
      </c>
    </row>
    <row r="19" spans="2:5" ht="15.6" x14ac:dyDescent="0.3">
      <c r="B19" s="8"/>
      <c r="C19" s="8" t="s">
        <v>159</v>
      </c>
      <c r="D19" s="70">
        <v>0.05</v>
      </c>
      <c r="E19" t="s">
        <v>160</v>
      </c>
    </row>
    <row r="20" spans="2:5" ht="15.6" x14ac:dyDescent="0.3">
      <c r="B20" s="8"/>
      <c r="C20" s="8" t="s">
        <v>161</v>
      </c>
      <c r="D20" s="70">
        <f>D17+(D18*D19)</f>
        <v>0.1</v>
      </c>
      <c r="E20" t="s">
        <v>170</v>
      </c>
    </row>
    <row r="21" spans="2:5" ht="15.6" x14ac:dyDescent="0.3">
      <c r="B21" s="8"/>
      <c r="C21" s="8" t="s">
        <v>162</v>
      </c>
      <c r="D21" s="72">
        <v>5.5E-2</v>
      </c>
      <c r="E21" t="s">
        <v>163</v>
      </c>
    </row>
    <row r="22" spans="2:5" ht="15.6" x14ac:dyDescent="0.3">
      <c r="B22" s="8"/>
      <c r="C22" s="8" t="s">
        <v>164</v>
      </c>
      <c r="D22" s="70">
        <v>4.3999999999999997E-2</v>
      </c>
      <c r="E22" t="s">
        <v>171</v>
      </c>
    </row>
    <row r="23" spans="2:5" ht="15.6" x14ac:dyDescent="0.3">
      <c r="B23" s="16"/>
      <c r="C23" s="16" t="s">
        <v>165</v>
      </c>
      <c r="D23" s="73">
        <v>9.8000000000000004E-2</v>
      </c>
      <c r="E23" s="48" t="s">
        <v>166</v>
      </c>
    </row>
    <row r="25" spans="2:5" ht="15.6" x14ac:dyDescent="0.3">
      <c r="B25" s="7" t="s">
        <v>178</v>
      </c>
    </row>
    <row r="26" spans="2:5" ht="15.6" x14ac:dyDescent="0.3">
      <c r="B26" s="40"/>
      <c r="C26" s="11" t="s">
        <v>172</v>
      </c>
      <c r="D26" s="11" t="s">
        <v>173</v>
      </c>
    </row>
    <row r="27" spans="2:5" ht="15.6" x14ac:dyDescent="0.3">
      <c r="C27" s="8" t="s">
        <v>174</v>
      </c>
      <c r="D27" s="47">
        <f ca="1">NPV(D23,E13:H13)</f>
        <v>162416563793.78302</v>
      </c>
    </row>
    <row r="28" spans="2:5" ht="15.6" x14ac:dyDescent="0.3">
      <c r="C28" s="8" t="s">
        <v>179</v>
      </c>
      <c r="D28" s="74">
        <v>0.03</v>
      </c>
    </row>
    <row r="29" spans="2:5" ht="15.6" x14ac:dyDescent="0.3">
      <c r="C29" s="8" t="s">
        <v>175</v>
      </c>
      <c r="D29" s="47">
        <f ca="1">(H13*(1+D28))/(D23-D28)</f>
        <v>1745474642821.5154</v>
      </c>
    </row>
    <row r="30" spans="2:5" ht="15.6" x14ac:dyDescent="0.3">
      <c r="C30" s="8" t="s">
        <v>176</v>
      </c>
      <c r="D30" s="57">
        <f ca="1">D29/(1+D23)^4</f>
        <v>1200892641209.6313</v>
      </c>
    </row>
    <row r="31" spans="2:5" ht="15.6" x14ac:dyDescent="0.3">
      <c r="B31" s="51"/>
      <c r="C31" s="13" t="s">
        <v>177</v>
      </c>
      <c r="D31" s="61">
        <f ca="1">D27+D30</f>
        <v>1363309205003.4143</v>
      </c>
    </row>
    <row r="33" spans="2:6" ht="15.6" x14ac:dyDescent="0.3">
      <c r="B33" s="7" t="s">
        <v>187</v>
      </c>
      <c r="C33" s="8"/>
      <c r="D33" s="8"/>
    </row>
    <row r="34" spans="2:6" ht="15.6" x14ac:dyDescent="0.3">
      <c r="B34" s="12"/>
      <c r="C34" s="11" t="s">
        <v>180</v>
      </c>
      <c r="D34" s="11" t="s">
        <v>188</v>
      </c>
    </row>
    <row r="35" spans="2:6" ht="15.6" x14ac:dyDescent="0.3">
      <c r="B35" s="8"/>
      <c r="C35" s="8" t="s">
        <v>181</v>
      </c>
      <c r="D35" s="57">
        <f ca="1">D31</f>
        <v>1363309205003.4143</v>
      </c>
    </row>
    <row r="36" spans="2:6" ht="15.6" x14ac:dyDescent="0.3">
      <c r="B36" s="8"/>
      <c r="C36" s="8" t="s">
        <v>182</v>
      </c>
      <c r="D36" s="46">
        <f>'Cash Flow Statement'!H49</f>
        <v>39100000000</v>
      </c>
    </row>
    <row r="37" spans="2:6" ht="15.6" x14ac:dyDescent="0.3">
      <c r="B37" s="8"/>
      <c r="C37" s="8" t="s">
        <v>183</v>
      </c>
      <c r="D37" s="46">
        <f>'Balance Sheet'!H37</f>
        <v>58744000000</v>
      </c>
    </row>
    <row r="38" spans="2:6" ht="15.6" x14ac:dyDescent="0.3">
      <c r="B38" s="8"/>
      <c r="C38" s="8" t="s">
        <v>184</v>
      </c>
      <c r="D38" s="57">
        <f ca="1">SUM(D35:D36)-D37</f>
        <v>1343665205003.4143</v>
      </c>
    </row>
    <row r="39" spans="2:6" ht="15.6" x14ac:dyDescent="0.3">
      <c r="B39" s="8"/>
      <c r="C39" s="8" t="s">
        <v>185</v>
      </c>
      <c r="D39" s="46">
        <f>'Income Statement'!H33</f>
        <v>2574000000</v>
      </c>
    </row>
    <row r="40" spans="2:6" ht="15.6" x14ac:dyDescent="0.3">
      <c r="B40" s="13"/>
      <c r="C40" s="13" t="s">
        <v>186</v>
      </c>
      <c r="D40" s="62">
        <f ca="1">D38/D39</f>
        <v>522.01445415828061</v>
      </c>
    </row>
    <row r="42" spans="2:6" ht="15.6" x14ac:dyDescent="0.3">
      <c r="B42" s="7" t="s">
        <v>189</v>
      </c>
      <c r="C42" s="8"/>
    </row>
    <row r="43" spans="2:6" ht="15.6" x14ac:dyDescent="0.3">
      <c r="B43" s="12"/>
      <c r="C43" s="88">
        <f ca="1">D40</f>
        <v>522.01445415828061</v>
      </c>
      <c r="D43" s="63">
        <v>8.5000000000000006E-2</v>
      </c>
      <c r="E43" s="63">
        <v>9.5000000000000001E-2</v>
      </c>
      <c r="F43" s="63">
        <v>0.105</v>
      </c>
    </row>
    <row r="44" spans="2:6" ht="15.6" x14ac:dyDescent="0.3">
      <c r="B44" s="8"/>
      <c r="C44" s="64">
        <v>2.5000000000000001E-2</v>
      </c>
      <c r="D44" s="66">
        <f t="dataTable" ref="D44:F46" dt2D="1" dtr="1" r1="D23" r2="D28" ca="1"/>
        <v>609.89510439031517</v>
      </c>
      <c r="E44" s="66">
        <v>512.02749223635419</v>
      </c>
      <c r="F44" s="66">
        <v>438.87592078782387</v>
      </c>
    </row>
    <row r="45" spans="2:6" ht="15.6" x14ac:dyDescent="0.3">
      <c r="B45" s="8"/>
      <c r="C45" s="64">
        <v>0.03</v>
      </c>
      <c r="D45" s="66">
        <v>663.0010980609195</v>
      </c>
      <c r="E45" s="66">
        <v>549.49829001511182</v>
      </c>
      <c r="F45" s="66">
        <v>466.52677862509267</v>
      </c>
    </row>
    <row r="46" spans="2:6" ht="15.6" x14ac:dyDescent="0.3">
      <c r="B46" s="16"/>
      <c r="C46" s="65">
        <v>3.5000000000000003E-2</v>
      </c>
      <c r="D46" s="67">
        <v>726.7282904656447</v>
      </c>
      <c r="E46" s="67">
        <v>593.21422075699536</v>
      </c>
      <c r="F46" s="67">
        <v>498.12775901054272</v>
      </c>
    </row>
    <row r="48" spans="2:6" ht="15.6" x14ac:dyDescent="0.3">
      <c r="B48" s="7" t="s">
        <v>190</v>
      </c>
      <c r="C48" s="7"/>
    </row>
    <row r="49" spans="2:7" x14ac:dyDescent="0.3">
      <c r="B49" s="40"/>
      <c r="C49" s="54" t="s">
        <v>191</v>
      </c>
      <c r="D49" s="75" t="s">
        <v>192</v>
      </c>
      <c r="E49" s="54" t="s">
        <v>193</v>
      </c>
      <c r="F49" s="54" t="s">
        <v>199</v>
      </c>
      <c r="G49" s="1"/>
    </row>
    <row r="50" spans="2:7" x14ac:dyDescent="0.3">
      <c r="C50" s="1" t="s">
        <v>198</v>
      </c>
      <c r="D50" s="6">
        <v>522</v>
      </c>
      <c r="E50" s="6"/>
      <c r="F50">
        <v>2</v>
      </c>
      <c r="G50" s="1"/>
    </row>
    <row r="51" spans="2:7" x14ac:dyDescent="0.3">
      <c r="C51" s="1" t="s">
        <v>194</v>
      </c>
      <c r="D51" s="6">
        <v>479.8</v>
      </c>
      <c r="E51" s="6">
        <v>796.25</v>
      </c>
      <c r="F51" s="6">
        <f>E51-D51</f>
        <v>316.45</v>
      </c>
      <c r="G51" s="6"/>
    </row>
    <row r="52" spans="2:7" x14ac:dyDescent="0.3">
      <c r="C52" s="1" t="s">
        <v>195</v>
      </c>
      <c r="D52" s="6">
        <v>600</v>
      </c>
      <c r="E52" s="6">
        <v>720</v>
      </c>
      <c r="F52" s="6">
        <f>E52-D52</f>
        <v>120</v>
      </c>
      <c r="G52" s="6"/>
    </row>
    <row r="53" spans="2:7" x14ac:dyDescent="0.3">
      <c r="C53" s="1" t="s">
        <v>197</v>
      </c>
      <c r="D53" s="6">
        <f>F44</f>
        <v>438.87592078782387</v>
      </c>
      <c r="E53" s="6">
        <f>D46</f>
        <v>726.7282904656447</v>
      </c>
      <c r="F53" s="6">
        <f>E53-D53</f>
        <v>287.85236967782083</v>
      </c>
      <c r="G53" s="6"/>
    </row>
    <row r="54" spans="2:7" x14ac:dyDescent="0.3">
      <c r="B54" s="48"/>
      <c r="C54" s="76" t="s">
        <v>196</v>
      </c>
      <c r="D54" s="56">
        <v>716</v>
      </c>
      <c r="E54" s="56"/>
      <c r="F54" s="48">
        <v>2</v>
      </c>
    </row>
  </sheetData>
  <mergeCells count="3">
    <mergeCell ref="E1:H1"/>
    <mergeCell ref="A2:D2"/>
    <mergeCell ref="B1:D1"/>
  </mergeCells>
  <conditionalFormatting sqref="D44:F46">
    <cfRule type="colorScale" priority="1">
      <colorScale>
        <cfvo type="min"/>
        <cfvo type="percentile" val="50"/>
        <cfvo type="max"/>
        <color theme="4" tint="0.79998168889431442"/>
        <color theme="4" tint="0.59999389629810485"/>
        <color theme="4" tint="0.39997558519241921"/>
      </colorScale>
    </cfRule>
  </conditionalFormatting>
  <hyperlinks>
    <hyperlink ref="B1:D1" location="Readme!A1" display="&lt;&lt; Back to home" xr:uid="{A6166CCC-6E75-4AEB-BF0F-0DAA2331FEA7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30ACA-92A5-4B39-944A-15E779D0E9EA}">
  <dimension ref="A1:M58"/>
  <sheetViews>
    <sheetView showGridLines="0" zoomScale="90" zoomScaleNormal="90" workbookViewId="0">
      <pane ySplit="2" topLeftCell="A3" activePane="bottomLeft" state="frozen"/>
      <selection activeCell="G24" sqref="G24"/>
      <selection pane="bottomLeft" activeCell="F64" sqref="F64"/>
    </sheetView>
  </sheetViews>
  <sheetFormatPr defaultRowHeight="14.4" x14ac:dyDescent="0.3"/>
  <cols>
    <col min="1" max="1" width="2.5546875" customWidth="1"/>
    <col min="2" max="2" width="3.77734375" customWidth="1"/>
    <col min="3" max="3" width="33.33203125" customWidth="1"/>
    <col min="4" max="4" width="9.5546875" customWidth="1"/>
    <col min="5" max="7" width="18.109375" customWidth="1"/>
    <col min="8" max="8" width="22.88671875" customWidth="1"/>
    <col min="9" max="9" width="20.109375" customWidth="1"/>
    <col min="10" max="10" width="19.6640625" customWidth="1"/>
    <col min="11" max="12" width="19.21875" customWidth="1"/>
    <col min="13" max="13" width="17.88671875" customWidth="1"/>
  </cols>
  <sheetData>
    <row r="1" spans="1:13" ht="21" customHeight="1" x14ac:dyDescent="0.4">
      <c r="A1" s="87"/>
      <c r="B1" s="119" t="s">
        <v>236</v>
      </c>
      <c r="C1" s="119"/>
      <c r="D1" s="119"/>
      <c r="E1" s="116" t="s">
        <v>1</v>
      </c>
      <c r="F1" s="116"/>
      <c r="G1" s="116"/>
      <c r="H1" s="116"/>
      <c r="I1" s="117" t="s">
        <v>2</v>
      </c>
      <c r="J1" s="117"/>
      <c r="K1" s="117"/>
      <c r="L1" s="117"/>
      <c r="M1" s="121" t="s">
        <v>125</v>
      </c>
    </row>
    <row r="2" spans="1:13" ht="37.200000000000003" customHeight="1" x14ac:dyDescent="0.4">
      <c r="A2" s="118" t="s">
        <v>90</v>
      </c>
      <c r="B2" s="118"/>
      <c r="C2" s="118"/>
      <c r="D2" s="118"/>
      <c r="E2" s="4">
        <v>2022</v>
      </c>
      <c r="F2" s="4">
        <v>2023</v>
      </c>
      <c r="G2" s="4">
        <v>2024</v>
      </c>
      <c r="H2" s="4">
        <v>2025</v>
      </c>
      <c r="I2" s="3">
        <v>2026</v>
      </c>
      <c r="J2" s="3">
        <v>2027</v>
      </c>
      <c r="K2" s="3">
        <v>2028</v>
      </c>
      <c r="L2" s="3">
        <v>2029</v>
      </c>
      <c r="M2" s="121"/>
    </row>
    <row r="3" spans="1:13" x14ac:dyDescent="0.3">
      <c r="B3" s="2"/>
    </row>
    <row r="4" spans="1:13" x14ac:dyDescent="0.3">
      <c r="B4" s="2"/>
    </row>
    <row r="5" spans="1:13" s="8" customFormat="1" ht="15.6" x14ac:dyDescent="0.3">
      <c r="B5" s="7" t="s">
        <v>141</v>
      </c>
    </row>
    <row r="6" spans="1:13" s="8" customFormat="1" ht="15.6" x14ac:dyDescent="0.3">
      <c r="B6" s="68">
        <v>1</v>
      </c>
      <c r="C6" s="8" t="s">
        <v>91</v>
      </c>
      <c r="E6" s="43"/>
      <c r="F6" s="43">
        <f>('Income Statement'!F5/'Income Statement'!E5)-1</f>
        <v>0.15687468377226454</v>
      </c>
      <c r="G6" s="43">
        <f>('Income Statement'!G5/'Income Statement'!F5)-1</f>
        <v>0.21941112807816054</v>
      </c>
      <c r="H6" s="43">
        <f>('Income Statement'!H5/'Income Statement'!G5)-1</f>
        <v>0.22167038498246217</v>
      </c>
      <c r="I6" s="44">
        <v>0.24</v>
      </c>
      <c r="J6" s="44">
        <v>0.24</v>
      </c>
      <c r="K6" s="44">
        <v>0.24</v>
      </c>
      <c r="L6" s="44">
        <v>0.24</v>
      </c>
      <c r="M6" s="19">
        <f>AVERAGE(F6:H6)</f>
        <v>0.19931873227762908</v>
      </c>
    </row>
    <row r="7" spans="1:13" s="8" customFormat="1" ht="15.6" x14ac:dyDescent="0.3">
      <c r="B7" s="68">
        <v>2</v>
      </c>
      <c r="C7" s="8" t="s">
        <v>92</v>
      </c>
      <c r="E7" s="43">
        <f>'Income Statement'!E6/'Income Statement'!E5</f>
        <v>0.21652702621581524</v>
      </c>
      <c r="F7" s="43">
        <f>'Income Statement'!F6/'Income Statement'!F5</f>
        <v>0.19242857778239017</v>
      </c>
      <c r="G7" s="43">
        <f>'Income Statement'!G6/'Income Statement'!G5</f>
        <v>0.18334842949282984</v>
      </c>
      <c r="H7" s="43">
        <f>'Income Statement'!H6/'Income Statement'!H5</f>
        <v>0.18000557308201387</v>
      </c>
      <c r="I7" s="44">
        <v>0.2</v>
      </c>
      <c r="J7" s="44">
        <v>0.2</v>
      </c>
      <c r="K7" s="44">
        <v>0.2</v>
      </c>
      <c r="L7" s="44">
        <v>0.2</v>
      </c>
      <c r="M7" s="19">
        <f t="shared" ref="M7:M18" si="0">AVERAGE(E7:H7)</f>
        <v>0.19307740164326226</v>
      </c>
    </row>
    <row r="8" spans="1:13" s="8" customFormat="1" ht="15.6" x14ac:dyDescent="0.3">
      <c r="B8" s="68">
        <v>3</v>
      </c>
      <c r="C8" s="8" t="s">
        <v>93</v>
      </c>
      <c r="E8" s="43">
        <f>'Cash Flow Statement'!E8/'Balance Sheet'!E14</f>
        <v>9.421743988024861E-2</v>
      </c>
      <c r="F8" s="43">
        <f>'Cash Flow Statement'!F8/'Balance Sheet'!F14</f>
        <v>0.10172823327053812</v>
      </c>
      <c r="G8" s="43">
        <f>'Cash Flow Statement'!G8/'Balance Sheet'!G14</f>
        <v>0.11373176387706578</v>
      </c>
      <c r="H8" s="43">
        <f>'Cash Flow Statement'!H8/'Balance Sheet'!H14</f>
        <v>9.4591573342005242E-2</v>
      </c>
      <c r="I8" s="44">
        <v>0.1</v>
      </c>
      <c r="J8" s="44">
        <v>0.1</v>
      </c>
      <c r="K8" s="44">
        <v>0.1</v>
      </c>
      <c r="L8" s="44">
        <v>0.1</v>
      </c>
      <c r="M8" s="19">
        <f t="shared" si="0"/>
        <v>0.10106725259246443</v>
      </c>
    </row>
    <row r="9" spans="1:13" s="8" customFormat="1" ht="15.6" x14ac:dyDescent="0.3">
      <c r="B9" s="68">
        <v>4</v>
      </c>
      <c r="C9" s="8" t="s">
        <v>97</v>
      </c>
      <c r="E9" s="43">
        <f>'Income Statement'!E19/'Income Statement'!E17</f>
        <v>0.19497553697213643</v>
      </c>
      <c r="F9" s="43">
        <f>'Income Statement'!F19/'Income Statement'!F17</f>
        <v>0.17563464620055663</v>
      </c>
      <c r="G9" s="43">
        <f>'Income Statement'!G19/'Income Statement'!G17</f>
        <v>0.11750137978857393</v>
      </c>
      <c r="H9" s="43">
        <f>'Income Statement'!H19/'Income Statement'!H17</f>
        <v>0.29644369966950612</v>
      </c>
      <c r="I9" s="44">
        <v>0.2</v>
      </c>
      <c r="J9" s="44">
        <v>0.2</v>
      </c>
      <c r="K9" s="44">
        <v>0.2</v>
      </c>
      <c r="L9" s="44">
        <v>0.2</v>
      </c>
      <c r="M9" s="19">
        <f t="shared" si="0"/>
        <v>0.19613881565769328</v>
      </c>
    </row>
    <row r="10" spans="1:13" s="8" customFormat="1" ht="15.6" x14ac:dyDescent="0.3">
      <c r="B10" s="68">
        <v>5</v>
      </c>
      <c r="C10" s="8" t="s">
        <v>98</v>
      </c>
      <c r="E10" s="43">
        <f>'Income Statement'!E22/'Balance Sheet'!E37</f>
        <v>1.8643555376398266E-2</v>
      </c>
      <c r="F10" s="43">
        <f>'Income Statement'!F22/'Balance Sheet'!F37</f>
        <v>2.425890671743269E-2</v>
      </c>
      <c r="G10" s="43">
        <f>'Income Statement'!G22/'Balance Sheet'!G37</f>
        <v>2.4803996392145981E-2</v>
      </c>
      <c r="H10" s="43">
        <f>'Income Statement'!H22/'Balance Sheet'!H37</f>
        <v>1.9831812610649598E-2</v>
      </c>
      <c r="I10" s="44">
        <v>0.02</v>
      </c>
      <c r="J10" s="44">
        <v>0.02</v>
      </c>
      <c r="K10" s="44">
        <v>0.02</v>
      </c>
      <c r="L10" s="44">
        <v>0.02</v>
      </c>
      <c r="M10" s="19">
        <f t="shared" si="0"/>
        <v>2.1884567774156635E-2</v>
      </c>
    </row>
    <row r="11" spans="1:13" s="8" customFormat="1" ht="15.6" x14ac:dyDescent="0.3">
      <c r="B11" s="68">
        <v>6</v>
      </c>
      <c r="C11" s="8" t="s">
        <v>100</v>
      </c>
      <c r="E11" s="52">
        <f>'Balance Sheet'!E8/'Income Statement'!E5*365</f>
        <v>42.150177087531837</v>
      </c>
      <c r="F11" s="52">
        <f>'Balance Sheet'!F8/'Income Statement'!F5*365</f>
        <v>43.747942951179375</v>
      </c>
      <c r="G11" s="52">
        <f>'Balance Sheet'!G8/'Income Statement'!G5*365</f>
        <v>37.706822450927348</v>
      </c>
      <c r="H11" s="52">
        <f>'Balance Sheet'!H8/'Income Statement'!H5*365</f>
        <v>35.905003831493886</v>
      </c>
      <c r="I11" s="53">
        <v>40</v>
      </c>
      <c r="J11" s="53">
        <v>40</v>
      </c>
      <c r="K11" s="53">
        <v>40</v>
      </c>
      <c r="L11" s="53">
        <v>40</v>
      </c>
      <c r="M11" s="19">
        <f t="shared" si="0"/>
        <v>39.877486580283112</v>
      </c>
    </row>
    <row r="12" spans="1:13" s="8" customFormat="1" ht="15.6" x14ac:dyDescent="0.3">
      <c r="B12" s="68">
        <v>7</v>
      </c>
      <c r="C12" s="8" t="s">
        <v>101</v>
      </c>
      <c r="E12" s="52">
        <f>'Balance Sheet'!E25/'Income Statement'!E6*365</f>
        <v>72.135530120004759</v>
      </c>
      <c r="F12" s="52">
        <f>'Balance Sheet'!F25/'Income Statement'!F6*365</f>
        <v>68.180014638468364</v>
      </c>
      <c r="G12" s="52">
        <f>'Balance Sheet'!G25/'Income Statement'!G6*365</f>
        <v>93.02592752229701</v>
      </c>
      <c r="H12" s="52">
        <f>'Balance Sheet'!H25/'Income Statement'!H6*365</f>
        <v>89.739046302695229</v>
      </c>
      <c r="I12" s="53">
        <v>80</v>
      </c>
      <c r="J12" s="53">
        <v>80</v>
      </c>
      <c r="K12" s="53">
        <v>80</v>
      </c>
      <c r="L12" s="53">
        <v>80</v>
      </c>
      <c r="M12" s="19">
        <f t="shared" si="0"/>
        <v>80.770129645866334</v>
      </c>
    </row>
    <row r="13" spans="1:13" s="8" customFormat="1" ht="15.6" x14ac:dyDescent="0.3">
      <c r="B13" s="68">
        <v>8</v>
      </c>
      <c r="C13" s="8" t="s">
        <v>102</v>
      </c>
      <c r="E13" s="9">
        <f>'Cash Flow Statement'!E28</f>
        <v>-31186000000</v>
      </c>
      <c r="F13" s="9">
        <f>'Cash Flow Statement'!F28</f>
        <v>-27045000000</v>
      </c>
      <c r="G13" s="9">
        <f>'Cash Flow Statement'!G28</f>
        <v>-37256000000</v>
      </c>
      <c r="H13" s="38">
        <f>'Cash Flow Statement'!H28</f>
        <v>-69691000000</v>
      </c>
      <c r="I13" s="10">
        <v>-125000000000</v>
      </c>
      <c r="J13" s="10">
        <v>-110000000000</v>
      </c>
      <c r="K13" s="10">
        <v>-90000000000</v>
      </c>
      <c r="L13" s="10">
        <v>-90000000000</v>
      </c>
      <c r="M13" s="19"/>
    </row>
    <row r="14" spans="1:13" s="8" customFormat="1" ht="15.6" x14ac:dyDescent="0.3">
      <c r="B14" s="68">
        <v>9</v>
      </c>
      <c r="C14" s="8" t="s">
        <v>94</v>
      </c>
      <c r="E14" s="43">
        <f>'Income Statement'!E10/'Income Statement'!E$5</f>
        <v>0.2322119218928213</v>
      </c>
      <c r="F14" s="43">
        <f>'Income Statement'!F10/'Income Statement'!F$5</f>
        <v>0.17574980356110362</v>
      </c>
      <c r="G14" s="43">
        <f>'Income Statement'!G10/'Income Statement'!G$5</f>
        <v>0.12818767059166813</v>
      </c>
      <c r="H14" s="43">
        <f>'Income Statement'!H10/'Income Statement'!H$5</f>
        <v>0.12013474916154972</v>
      </c>
      <c r="I14" s="44">
        <v>0.16</v>
      </c>
      <c r="J14" s="44">
        <v>0.16</v>
      </c>
      <c r="K14" s="44">
        <v>0.16</v>
      </c>
      <c r="L14" s="44">
        <v>0.16</v>
      </c>
      <c r="M14" s="19">
        <f t="shared" si="0"/>
        <v>0.16407103630178571</v>
      </c>
    </row>
    <row r="15" spans="1:13" s="8" customFormat="1" ht="15.6" x14ac:dyDescent="0.3">
      <c r="B15" s="68">
        <v>10</v>
      </c>
      <c r="C15" s="8" t="s">
        <v>95</v>
      </c>
      <c r="E15" s="43">
        <f>'Income Statement'!E11/'Income Statement'!E$5</f>
        <v>0.30304693462768739</v>
      </c>
      <c r="F15" s="43">
        <f>'Income Statement'!F11/'Income Statement'!F$5</f>
        <v>0.28526634149234259</v>
      </c>
      <c r="G15" s="43">
        <f>'Income Statement'!G11/'Income Statement'!G$5</f>
        <v>0.26670354587510109</v>
      </c>
      <c r="H15" s="43">
        <f>'Income Statement'!H11/'Income Statement'!H$5</f>
        <v>0.28548112616064408</v>
      </c>
      <c r="I15" s="44">
        <v>0.28000000000000003</v>
      </c>
      <c r="J15" s="44">
        <v>0.28000000000000003</v>
      </c>
      <c r="K15" s="44">
        <v>0.28000000000000003</v>
      </c>
      <c r="L15" s="44">
        <v>0.28000000000000003</v>
      </c>
      <c r="M15" s="19">
        <f t="shared" si="0"/>
        <v>0.28512448703894377</v>
      </c>
    </row>
    <row r="16" spans="1:13" s="8" customFormat="1" ht="15.6" x14ac:dyDescent="0.3">
      <c r="B16" s="68">
        <v>11</v>
      </c>
      <c r="C16" s="8" t="s">
        <v>96</v>
      </c>
      <c r="E16" s="43">
        <f>'Income Statement'!E15/SUM('Balance Sheet'!E9:E11)</f>
        <v>-1.0800726594334528E-3</v>
      </c>
      <c r="F16" s="43">
        <f>'Income Statement'!F15/SUM('Balance Sheet'!F9:F11)</f>
        <v>1.5947280705778024E-2</v>
      </c>
      <c r="G16" s="43">
        <f>'Income Statement'!G15/SUM('Balance Sheet'!G9:G11)</f>
        <v>2.5355008674420098E-2</v>
      </c>
      <c r="H16" s="43">
        <f>'Income Statement'!H15/SUM('Balance Sheet'!H9:H11)</f>
        <v>2.8238062555152467E-2</v>
      </c>
      <c r="I16" s="44">
        <v>0.02</v>
      </c>
      <c r="J16" s="44">
        <v>0.02</v>
      </c>
      <c r="K16" s="44">
        <v>0.02</v>
      </c>
      <c r="L16" s="44">
        <v>0.02</v>
      </c>
      <c r="M16" s="19">
        <f t="shared" si="0"/>
        <v>1.7115069818979284E-2</v>
      </c>
    </row>
    <row r="17" spans="2:13" s="8" customFormat="1" ht="15.6" x14ac:dyDescent="0.3">
      <c r="B17" s="68">
        <v>12</v>
      </c>
      <c r="C17" s="8" t="s">
        <v>112</v>
      </c>
      <c r="E17" s="43">
        <f>'Balance Sheet'!E41/'Income Statement'!E5</f>
        <v>0.55265031001037657</v>
      </c>
      <c r="F17" s="43">
        <f>'Balance Sheet'!F41/'Income Statement'!F5</f>
        <v>0.54300899912529099</v>
      </c>
      <c r="G17" s="43">
        <f>'Balance Sheet'!G41/'Income Statement'!G5</f>
        <v>0.50594221311724552</v>
      </c>
      <c r="H17" s="43">
        <f>'Balance Sheet'!H41/'Income Statement'!H5</f>
        <v>0.47666271906690683</v>
      </c>
      <c r="I17" s="44">
        <v>0.45</v>
      </c>
      <c r="J17" s="44">
        <v>0.45</v>
      </c>
      <c r="K17" s="44">
        <v>0.45</v>
      </c>
      <c r="L17" s="44">
        <v>0.45</v>
      </c>
      <c r="M17" s="19">
        <f t="shared" si="0"/>
        <v>0.519566060329955</v>
      </c>
    </row>
    <row r="18" spans="2:13" s="8" customFormat="1" ht="15.6" x14ac:dyDescent="0.3">
      <c r="B18" s="68">
        <v>13</v>
      </c>
      <c r="C18" s="8" t="s">
        <v>113</v>
      </c>
      <c r="E18" s="43">
        <f>'Cash Flow Statement'!E39/'Cash Flow Statement'!E28</f>
        <v>-0.31812351696273972</v>
      </c>
      <c r="F18" s="43">
        <f>'Cash Flow Statement'!F39/'Cash Flow Statement'!F28</f>
        <v>-0.31262710297652063</v>
      </c>
      <c r="G18" s="43">
        <f>'Cash Flow Statement'!G39/'Cash Flow Statement'!G28</f>
        <v>-0.28000858922052824</v>
      </c>
      <c r="H18" s="43">
        <f>'Cash Flow Statement'!H39/'Cash Flow Statement'!H28</f>
        <v>-0.42912284226083713</v>
      </c>
      <c r="I18" s="44">
        <v>-0.33</v>
      </c>
      <c r="J18" s="44">
        <v>-0.33</v>
      </c>
      <c r="K18" s="44">
        <v>-0.33</v>
      </c>
      <c r="L18" s="44">
        <v>-0.33</v>
      </c>
      <c r="M18" s="19">
        <f t="shared" si="0"/>
        <v>-0.33497051285515639</v>
      </c>
    </row>
    <row r="19" spans="2:13" s="8" customFormat="1" ht="15.6" x14ac:dyDescent="0.3">
      <c r="B19" s="68">
        <v>14</v>
      </c>
      <c r="C19" s="8" t="s">
        <v>114</v>
      </c>
      <c r="E19" s="43"/>
      <c r="F19" s="43">
        <f>'Cash Flow Statement'!F38/'Cash Flow Statement'!E39</f>
        <v>-0.1066424755568995</v>
      </c>
      <c r="G19" s="43">
        <f>'Cash Flow Statement'!G38/'Cash Flow Statement'!F39</f>
        <v>-0.23287995269071554</v>
      </c>
      <c r="H19" s="43">
        <f>'Cash Flow Statement'!H38/'Cash Flow Statement'!G39</f>
        <v>-0.24194785276073619</v>
      </c>
      <c r="I19" s="44">
        <v>-0.2</v>
      </c>
      <c r="J19" s="44">
        <v>-0.2</v>
      </c>
      <c r="K19" s="44">
        <v>-0.2</v>
      </c>
      <c r="L19" s="44">
        <v>-0.2</v>
      </c>
      <c r="M19" s="19">
        <f>AVERAGE(F19:H19)</f>
        <v>-0.19382342700278374</v>
      </c>
    </row>
    <row r="20" spans="2:13" s="8" customFormat="1" ht="15.6" x14ac:dyDescent="0.3">
      <c r="B20" s="68">
        <v>15</v>
      </c>
      <c r="C20" s="8" t="s">
        <v>115</v>
      </c>
      <c r="E20" s="43">
        <f>'Cash Flow Statement'!E29/'Income Statement'!E5</f>
        <v>-1.1251275630525946E-2</v>
      </c>
      <c r="F20" s="43">
        <f>'Cash Flow Statement'!F29/'Income Statement'!F5</f>
        <v>-4.662643993417444E-3</v>
      </c>
      <c r="G20" s="43">
        <f>'Cash Flow Statement'!G29/'Income Statement'!G5</f>
        <v>-1.6413274083440222E-3</v>
      </c>
      <c r="H20" s="43">
        <f>'Cash Flow Statement'!H29/'Income Statement'!H5</f>
        <v>-8.3446951225580445E-3</v>
      </c>
      <c r="I20" s="44">
        <v>-0.01</v>
      </c>
      <c r="J20" s="44">
        <v>-0.01</v>
      </c>
      <c r="K20" s="44">
        <v>-0.01</v>
      </c>
      <c r="L20" s="44">
        <v>-0.01</v>
      </c>
      <c r="M20" s="19">
        <f>AVERAGE(E20:H20)</f>
        <v>-6.4749855387113645E-3</v>
      </c>
    </row>
    <row r="21" spans="2:13" s="8" customFormat="1" ht="15.6" x14ac:dyDescent="0.3">
      <c r="B21" s="68">
        <v>16</v>
      </c>
      <c r="C21" s="8" t="s">
        <v>116</v>
      </c>
      <c r="E21" s="43">
        <f>'Cash Flow Statement'!E39/'Income Statement'!E6</f>
        <v>0.39292645253277358</v>
      </c>
      <c r="F21" s="43">
        <f>'Cash Flow Statement'!F39/'Income Statement'!F6</f>
        <v>0.32570592087522632</v>
      </c>
      <c r="G21" s="43">
        <f>'Cash Flow Statement'!G39/'Income Statement'!G6</f>
        <v>0.34587712608998378</v>
      </c>
      <c r="H21" s="43">
        <f>'Cash Flow Statement'!H39/'Income Statement'!H6</f>
        <v>0.82670352453351759</v>
      </c>
      <c r="I21" s="44">
        <v>0.5</v>
      </c>
      <c r="J21" s="44">
        <v>0.5</v>
      </c>
      <c r="K21" s="44">
        <v>0.5</v>
      </c>
      <c r="L21" s="44">
        <v>0.5</v>
      </c>
      <c r="M21" s="19">
        <f>AVERAGE(E21:H21)</f>
        <v>0.47280325600787532</v>
      </c>
    </row>
    <row r="22" spans="2:13" s="8" customFormat="1" ht="15.6" x14ac:dyDescent="0.3">
      <c r="B22" s="68">
        <v>17</v>
      </c>
      <c r="C22" s="8" t="s">
        <v>117</v>
      </c>
      <c r="E22" s="43"/>
      <c r="F22" s="43">
        <f>'Balance Sheet'!F30/'Balance Sheet'!E36</f>
        <v>0.10607149859486308</v>
      </c>
      <c r="G22" s="43">
        <f>'Balance Sheet'!G30/'Balance Sheet'!F36</f>
        <v>0.11273656101242308</v>
      </c>
      <c r="H22" s="43">
        <f>'Balance Sheet'!H30/'Balance Sheet'!G36</f>
        <v>0.12098184998906626</v>
      </c>
      <c r="I22" s="44">
        <v>0.12</v>
      </c>
      <c r="J22" s="44">
        <v>0.12</v>
      </c>
      <c r="K22" s="44">
        <v>0.12</v>
      </c>
      <c r="L22" s="44">
        <v>0.12</v>
      </c>
      <c r="M22" s="19">
        <f>AVERAGE(F22:H22)</f>
        <v>0.11326330319878414</v>
      </c>
    </row>
    <row r="23" spans="2:13" s="8" customFormat="1" ht="15.6" x14ac:dyDescent="0.3">
      <c r="B23" s="68">
        <v>18</v>
      </c>
      <c r="C23" s="8" t="s">
        <v>118</v>
      </c>
      <c r="E23" s="43">
        <f>'Balance Sheet'!E35/'Cash Flow Statement'!E28</f>
        <v>-0.21307638042711474</v>
      </c>
      <c r="F23" s="43">
        <f>'Balance Sheet'!F35/'Cash Flow Statement'!F28</f>
        <v>-0.27783324089480493</v>
      </c>
      <c r="G23" s="43">
        <f>'Balance Sheet'!G35/'Cash Flow Statement'!G28</f>
        <v>-0.26806420442344858</v>
      </c>
      <c r="H23" s="43">
        <f>'Balance Sheet'!H35/'Cash Flow Statement'!H28</f>
        <v>-0.30140190268470823</v>
      </c>
      <c r="I23" s="44">
        <v>-0.26</v>
      </c>
      <c r="J23" s="44">
        <v>-0.26</v>
      </c>
      <c r="K23" s="44">
        <v>-0.26</v>
      </c>
      <c r="L23" s="44">
        <v>-0.26</v>
      </c>
      <c r="M23" s="19">
        <f>AVERAGE(E23:H23)</f>
        <v>-0.26509393210751908</v>
      </c>
    </row>
    <row r="24" spans="2:13" s="8" customFormat="1" ht="15.6" x14ac:dyDescent="0.3">
      <c r="B24" s="68">
        <v>19</v>
      </c>
      <c r="C24" s="8" t="s">
        <v>119</v>
      </c>
      <c r="E24" s="43">
        <f>'Balance Sheet'!E26/'Income Statement'!E19</f>
        <v>0.41626623954440289</v>
      </c>
      <c r="F24" s="43">
        <f>'Balance Sheet'!F26/'Income Statement'!F19</f>
        <v>0.43877551020408162</v>
      </c>
      <c r="G24" s="43">
        <f>'Balance Sheet'!G26/'Income Statement'!G19</f>
        <v>0.41406720462483437</v>
      </c>
      <c r="H24" s="43">
        <f>'Balance Sheet'!H26/'Income Statement'!H19</f>
        <v>7.5449477899034306E-2</v>
      </c>
      <c r="I24" s="44">
        <v>0.33</v>
      </c>
      <c r="J24" s="44">
        <v>0.33</v>
      </c>
      <c r="K24" s="44">
        <v>0.33</v>
      </c>
      <c r="L24" s="44">
        <v>0.33</v>
      </c>
      <c r="M24" s="19">
        <f>AVERAGE(E24:H24)</f>
        <v>0.33613960806808829</v>
      </c>
    </row>
    <row r="25" spans="2:13" s="8" customFormat="1" ht="15.6" x14ac:dyDescent="0.3">
      <c r="B25" s="68">
        <v>20</v>
      </c>
      <c r="C25" s="8" t="s">
        <v>121</v>
      </c>
      <c r="E25" s="43">
        <f>'Balance Sheet'!E7/'Income Statement'!E5</f>
        <v>4.5836942260031384E-2</v>
      </c>
      <c r="F25" s="43">
        <f>'Balance Sheet'!F7/'Income Statement'!F5</f>
        <v>2.8116706942817749E-2</v>
      </c>
      <c r="G25" s="43">
        <f>'Balance Sheet'!G7/'Income Statement'!G5</f>
        <v>3.1829593741071485E-2</v>
      </c>
      <c r="H25" s="43">
        <f>'Balance Sheet'!H7/'Income Statement'!H5</f>
        <v>3.6628086342963488E-2</v>
      </c>
      <c r="I25" s="44">
        <f>0.35</f>
        <v>0.35</v>
      </c>
      <c r="J25" s="44">
        <f t="shared" ref="J25:L25" si="1">0.35</f>
        <v>0.35</v>
      </c>
      <c r="K25" s="44">
        <f t="shared" si="1"/>
        <v>0.35</v>
      </c>
      <c r="L25" s="44">
        <f t="shared" si="1"/>
        <v>0.35</v>
      </c>
      <c r="M25" s="19">
        <f t="shared" ref="M25:M28" si="2">AVERAGE(E25:H25)</f>
        <v>3.5602832321721026E-2</v>
      </c>
    </row>
    <row r="26" spans="2:13" s="8" customFormat="1" ht="15.6" x14ac:dyDescent="0.3">
      <c r="B26" s="68">
        <v>21</v>
      </c>
      <c r="C26" s="8" t="s">
        <v>122</v>
      </c>
      <c r="E26" s="43">
        <f>'Balance Sheet'!E31/'Income Statement'!E5</f>
        <v>4.2072224270853879E-2</v>
      </c>
      <c r="F26" s="43">
        <f>'Balance Sheet'!F31/'Income Statement'!F5</f>
        <v>4.7212050229055169E-2</v>
      </c>
      <c r="G26" s="43">
        <f>'Balance Sheet'!G31/'Income Statement'!G5</f>
        <v>3.6923787697339228E-2</v>
      </c>
      <c r="H26" s="43">
        <f>'Balance Sheet'!H31/'Income Statement'!H5</f>
        <v>5.1685359712588197E-2</v>
      </c>
      <c r="I26" s="44">
        <v>0.45</v>
      </c>
      <c r="J26" s="44">
        <v>0.45</v>
      </c>
      <c r="K26" s="44">
        <v>0.45</v>
      </c>
      <c r="L26" s="44">
        <v>0.45</v>
      </c>
      <c r="M26" s="19">
        <f t="shared" si="2"/>
        <v>4.447335547745912E-2</v>
      </c>
    </row>
    <row r="27" spans="2:13" s="8" customFormat="1" ht="15.6" x14ac:dyDescent="0.3">
      <c r="B27" s="68">
        <v>22</v>
      </c>
      <c r="C27" s="8" t="s">
        <v>123</v>
      </c>
      <c r="E27" s="43">
        <f>'Cash Flow Statement'!E17/'Income Statement'!E5</f>
        <v>1.3892581190131123E-3</v>
      </c>
      <c r="F27" s="43">
        <f>'Cash Flow Statement'!F17/'Income Statement'!F5</f>
        <v>4.1437487954218621E-3</v>
      </c>
      <c r="G27" s="43">
        <f>'Cash Flow Statement'!G17/'Income Statement'!G5</f>
        <v>-4.2431353000893608E-3</v>
      </c>
      <c r="H27" s="43">
        <f>'Cash Flow Statement'!H17/'Income Statement'!H5</f>
        <v>-4.4286098145955035E-4</v>
      </c>
      <c r="I27" s="44">
        <v>-2.9999999999999997E-4</v>
      </c>
      <c r="J27" s="44">
        <v>-2.9999999999999997E-4</v>
      </c>
      <c r="K27" s="44">
        <v>-2.9999999999999997E-4</v>
      </c>
      <c r="L27" s="44">
        <v>-2.9999999999999997E-4</v>
      </c>
      <c r="M27" s="19"/>
    </row>
    <row r="28" spans="2:13" s="8" customFormat="1" ht="15.6" x14ac:dyDescent="0.3">
      <c r="B28" s="68">
        <v>23</v>
      </c>
      <c r="C28" s="8" t="s">
        <v>124</v>
      </c>
      <c r="E28" s="43">
        <f>'Cash Flow Statement'!E10/'Cash Flow Statement'!E8</f>
        <v>-0.37830992401565738</v>
      </c>
      <c r="F28" s="43">
        <f>'Cash Flow Statement'!F10/'Cash Flow Statement'!F8</f>
        <v>1.1719448917516551E-2</v>
      </c>
      <c r="G28" s="43">
        <f>'Cash Flow Statement'!G10/'Cash Flow Statement'!G8</f>
        <v>-0.30571686669247644</v>
      </c>
      <c r="H28" s="43">
        <f>'Cash Flow Statement'!H10/'Cash Flow Statement'!H8</f>
        <v>1.0065535023635583</v>
      </c>
      <c r="I28" s="44">
        <v>0.8</v>
      </c>
      <c r="J28" s="44">
        <v>0.8</v>
      </c>
      <c r="K28" s="44">
        <v>0.8</v>
      </c>
      <c r="L28" s="44">
        <v>0.8</v>
      </c>
      <c r="M28" s="19">
        <f t="shared" si="2"/>
        <v>8.3561540143235247E-2</v>
      </c>
    </row>
    <row r="29" spans="2:13" x14ac:dyDescent="0.3">
      <c r="B29" s="2"/>
    </row>
    <row r="30" spans="2:13" x14ac:dyDescent="0.3">
      <c r="B30" s="1"/>
      <c r="E30" s="39"/>
      <c r="F30" s="39"/>
      <c r="G30" s="39"/>
      <c r="H30" s="39"/>
      <c r="I30" s="39"/>
      <c r="J30" s="39"/>
      <c r="K30" s="39"/>
      <c r="L30" s="39"/>
      <c r="M30" s="39"/>
    </row>
    <row r="31" spans="2:13" x14ac:dyDescent="0.3">
      <c r="B31" s="2"/>
    </row>
    <row r="32" spans="2:13" x14ac:dyDescent="0.3">
      <c r="B32" s="2"/>
    </row>
    <row r="33" spans="1:13" x14ac:dyDescent="0.3">
      <c r="B33" s="2"/>
    </row>
    <row r="34" spans="1:13" ht="15.6" x14ac:dyDescent="0.3">
      <c r="B34" s="7" t="s">
        <v>90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ht="34.200000000000003" customHeight="1" x14ac:dyDescent="0.3">
      <c r="A35" s="8"/>
      <c r="B35" s="93">
        <v>1</v>
      </c>
      <c r="C35" s="94" t="s">
        <v>145</v>
      </c>
      <c r="D35" s="120" t="s">
        <v>144</v>
      </c>
      <c r="E35" s="120"/>
      <c r="F35" s="120"/>
      <c r="G35" s="120"/>
      <c r="H35" s="120"/>
      <c r="I35" s="120"/>
      <c r="J35" s="120"/>
      <c r="K35" s="120"/>
      <c r="L35" s="120"/>
      <c r="M35" s="120"/>
    </row>
    <row r="36" spans="1:13" ht="15.6" x14ac:dyDescent="0.3">
      <c r="B36" s="69">
        <v>2</v>
      </c>
      <c r="C36" s="95" t="s">
        <v>91</v>
      </c>
      <c r="D36" s="96" t="s">
        <v>248</v>
      </c>
      <c r="E36" s="96"/>
      <c r="F36" s="96"/>
      <c r="G36" s="96"/>
      <c r="H36" s="96"/>
      <c r="I36" s="96"/>
      <c r="J36" s="96"/>
      <c r="K36" s="96"/>
      <c r="L36" s="96"/>
      <c r="M36" s="96"/>
    </row>
    <row r="37" spans="1:13" ht="15.6" x14ac:dyDescent="0.3">
      <c r="B37" s="69">
        <v>3</v>
      </c>
      <c r="C37" s="95" t="s">
        <v>92</v>
      </c>
      <c r="D37" s="96" t="s">
        <v>249</v>
      </c>
      <c r="E37" s="96"/>
      <c r="F37" s="96"/>
      <c r="G37" s="96"/>
      <c r="H37" s="96"/>
      <c r="I37" s="96"/>
      <c r="J37" s="96"/>
      <c r="K37" s="96"/>
      <c r="L37" s="96"/>
      <c r="M37" s="96"/>
    </row>
    <row r="38" spans="1:13" ht="28.8" x14ac:dyDescent="0.3">
      <c r="B38" s="69">
        <v>4</v>
      </c>
      <c r="C38" s="95" t="s">
        <v>93</v>
      </c>
      <c r="D38" s="96" t="s">
        <v>250</v>
      </c>
      <c r="E38" s="96"/>
      <c r="F38" s="96"/>
      <c r="G38" s="96"/>
      <c r="H38" s="96"/>
      <c r="I38" s="96"/>
      <c r="J38" s="96"/>
      <c r="K38" s="96"/>
      <c r="L38" s="96"/>
      <c r="M38" s="96"/>
    </row>
    <row r="39" spans="1:13" ht="15.6" x14ac:dyDescent="0.3">
      <c r="B39" s="69">
        <v>5</v>
      </c>
      <c r="C39" s="95" t="s">
        <v>97</v>
      </c>
      <c r="D39" s="96" t="s">
        <v>251</v>
      </c>
      <c r="E39" s="96"/>
      <c r="F39" s="96"/>
      <c r="G39" s="96"/>
      <c r="H39" s="96"/>
      <c r="I39" s="96"/>
      <c r="J39" s="96"/>
      <c r="K39" s="96"/>
      <c r="L39" s="96"/>
      <c r="M39" s="96"/>
    </row>
    <row r="40" spans="1:13" ht="28.8" x14ac:dyDescent="0.3">
      <c r="B40" s="69">
        <v>6</v>
      </c>
      <c r="C40" s="95" t="s">
        <v>98</v>
      </c>
      <c r="D40" s="96" t="s">
        <v>252</v>
      </c>
      <c r="E40" s="96"/>
      <c r="F40" s="96"/>
      <c r="G40" s="96"/>
      <c r="H40" s="96"/>
      <c r="I40" s="96"/>
      <c r="J40" s="96"/>
      <c r="K40" s="96"/>
      <c r="L40" s="96"/>
      <c r="M40" s="96"/>
    </row>
    <row r="41" spans="1:13" ht="15.6" x14ac:dyDescent="0.3">
      <c r="B41" s="69">
        <v>7</v>
      </c>
      <c r="C41" s="95" t="s">
        <v>100</v>
      </c>
      <c r="D41" s="96" t="s">
        <v>253</v>
      </c>
      <c r="E41" s="96"/>
      <c r="F41" s="96"/>
      <c r="G41" s="96"/>
      <c r="H41" s="96"/>
      <c r="I41" s="96"/>
      <c r="J41" s="96"/>
      <c r="K41" s="96"/>
      <c r="L41" s="96"/>
      <c r="M41" s="96"/>
    </row>
    <row r="42" spans="1:13" ht="15.6" x14ac:dyDescent="0.3">
      <c r="B42" s="69">
        <v>8</v>
      </c>
      <c r="C42" s="95" t="s">
        <v>101</v>
      </c>
      <c r="D42" s="96" t="s">
        <v>254</v>
      </c>
      <c r="E42" s="96"/>
      <c r="F42" s="96"/>
      <c r="G42" s="96"/>
      <c r="H42" s="96"/>
      <c r="I42" s="96"/>
      <c r="J42" s="96"/>
      <c r="K42" s="96"/>
      <c r="L42" s="96"/>
      <c r="M42" s="96"/>
    </row>
    <row r="43" spans="1:13" ht="15.6" x14ac:dyDescent="0.3">
      <c r="B43" s="69">
        <v>9</v>
      </c>
      <c r="C43" s="95" t="s">
        <v>102</v>
      </c>
      <c r="D43" s="96" t="s">
        <v>255</v>
      </c>
      <c r="E43" s="96"/>
      <c r="F43" s="96"/>
      <c r="G43" s="96"/>
      <c r="H43" s="96"/>
      <c r="I43" s="96"/>
      <c r="J43" s="96"/>
      <c r="K43" s="96"/>
      <c r="L43" s="96"/>
      <c r="M43" s="96"/>
    </row>
    <row r="44" spans="1:13" ht="28.8" x14ac:dyDescent="0.3">
      <c r="B44" s="69">
        <v>10</v>
      </c>
      <c r="C44" s="95" t="s">
        <v>94</v>
      </c>
      <c r="D44" s="96" t="s">
        <v>256</v>
      </c>
      <c r="E44" s="96"/>
      <c r="F44" s="96"/>
      <c r="G44" s="96"/>
      <c r="H44" s="96"/>
      <c r="I44" s="96"/>
      <c r="J44" s="96"/>
      <c r="K44" s="96"/>
      <c r="L44" s="96"/>
      <c r="M44" s="96"/>
    </row>
    <row r="45" spans="1:13" ht="28.8" x14ac:dyDescent="0.3">
      <c r="B45" s="69">
        <v>11</v>
      </c>
      <c r="C45" s="95" t="s">
        <v>95</v>
      </c>
      <c r="D45" s="96" t="s">
        <v>257</v>
      </c>
      <c r="E45" s="96"/>
      <c r="F45" s="96"/>
      <c r="G45" s="96"/>
      <c r="H45" s="96"/>
      <c r="I45" s="96"/>
      <c r="J45" s="96"/>
      <c r="K45" s="96"/>
      <c r="L45" s="96"/>
      <c r="M45" s="96"/>
    </row>
    <row r="46" spans="1:13" ht="28.8" x14ac:dyDescent="0.3">
      <c r="B46" s="69">
        <v>12</v>
      </c>
      <c r="C46" s="95" t="s">
        <v>96</v>
      </c>
      <c r="D46" s="96" t="s">
        <v>258</v>
      </c>
      <c r="E46" s="96"/>
      <c r="F46" s="96"/>
      <c r="G46" s="96"/>
      <c r="H46" s="96"/>
      <c r="I46" s="96"/>
      <c r="J46" s="96"/>
      <c r="K46" s="96"/>
      <c r="L46" s="96"/>
      <c r="M46" s="96"/>
    </row>
    <row r="47" spans="1:13" ht="15.6" x14ac:dyDescent="0.3">
      <c r="B47" s="69">
        <v>13</v>
      </c>
      <c r="C47" s="95" t="s">
        <v>112</v>
      </c>
      <c r="D47" s="96" t="s">
        <v>259</v>
      </c>
      <c r="E47" s="96"/>
      <c r="F47" s="96"/>
      <c r="G47" s="96"/>
      <c r="H47" s="96"/>
      <c r="I47" s="96"/>
      <c r="J47" s="96"/>
      <c r="K47" s="96"/>
      <c r="L47" s="96"/>
      <c r="M47" s="96"/>
    </row>
    <row r="48" spans="1:13" ht="15.6" x14ac:dyDescent="0.3">
      <c r="B48" s="69">
        <v>14</v>
      </c>
      <c r="C48" s="95" t="s">
        <v>113</v>
      </c>
      <c r="D48" s="96" t="s">
        <v>260</v>
      </c>
      <c r="E48" s="96"/>
      <c r="F48" s="96"/>
      <c r="G48" s="96"/>
      <c r="H48" s="96"/>
      <c r="I48" s="96"/>
      <c r="J48" s="96"/>
      <c r="K48" s="96"/>
      <c r="L48" s="96"/>
      <c r="M48" s="96"/>
    </row>
    <row r="49" spans="2:13" ht="15.6" x14ac:dyDescent="0.3">
      <c r="B49" s="69">
        <v>15</v>
      </c>
      <c r="C49" s="95" t="s">
        <v>114</v>
      </c>
      <c r="D49" s="96" t="s">
        <v>261</v>
      </c>
      <c r="E49" s="96"/>
      <c r="F49" s="96"/>
      <c r="G49" s="96"/>
      <c r="H49" s="96"/>
      <c r="I49" s="96"/>
      <c r="J49" s="96"/>
      <c r="K49" s="96"/>
      <c r="L49" s="96"/>
      <c r="M49" s="96"/>
    </row>
    <row r="50" spans="2:13" ht="28.8" x14ac:dyDescent="0.3">
      <c r="B50" s="69">
        <v>16</v>
      </c>
      <c r="C50" s="95" t="s">
        <v>115</v>
      </c>
      <c r="D50" s="96" t="s">
        <v>262</v>
      </c>
      <c r="E50" s="96"/>
      <c r="F50" s="96"/>
      <c r="G50" s="96"/>
      <c r="H50" s="96"/>
      <c r="I50" s="96"/>
      <c r="J50" s="96"/>
      <c r="K50" s="96"/>
      <c r="L50" s="96"/>
      <c r="M50" s="96"/>
    </row>
    <row r="51" spans="2:13" ht="28.8" x14ac:dyDescent="0.3">
      <c r="B51" s="69">
        <v>17</v>
      </c>
      <c r="C51" s="95" t="s">
        <v>116</v>
      </c>
      <c r="D51" s="96" t="s">
        <v>263</v>
      </c>
      <c r="E51" s="96"/>
      <c r="F51" s="96"/>
      <c r="G51" s="96"/>
      <c r="H51" s="96"/>
      <c r="I51" s="96"/>
      <c r="J51" s="96"/>
      <c r="K51" s="96"/>
      <c r="L51" s="96"/>
      <c r="M51" s="96"/>
    </row>
    <row r="52" spans="2:13" ht="28.8" x14ac:dyDescent="0.3">
      <c r="B52" s="69">
        <v>18</v>
      </c>
      <c r="C52" s="95" t="s">
        <v>117</v>
      </c>
      <c r="D52" s="96" t="s">
        <v>264</v>
      </c>
      <c r="E52" s="96"/>
      <c r="F52" s="96"/>
      <c r="G52" s="96"/>
      <c r="H52" s="96"/>
      <c r="I52" s="96"/>
      <c r="J52" s="96"/>
      <c r="K52" s="96"/>
      <c r="L52" s="96"/>
      <c r="M52" s="96"/>
    </row>
    <row r="53" spans="2:13" ht="28.8" x14ac:dyDescent="0.3">
      <c r="B53" s="69">
        <v>19</v>
      </c>
      <c r="C53" s="95" t="s">
        <v>118</v>
      </c>
      <c r="D53" s="96" t="s">
        <v>265</v>
      </c>
      <c r="E53" s="96"/>
      <c r="F53" s="96"/>
      <c r="G53" s="96"/>
      <c r="H53" s="96"/>
      <c r="I53" s="96"/>
      <c r="J53" s="96"/>
      <c r="K53" s="96"/>
      <c r="L53" s="96"/>
      <c r="M53" s="96"/>
    </row>
    <row r="54" spans="2:13" ht="15.6" x14ac:dyDescent="0.3">
      <c r="B54" s="69">
        <v>20</v>
      </c>
      <c r="C54" s="95" t="s">
        <v>119</v>
      </c>
      <c r="D54" s="96" t="s">
        <v>266</v>
      </c>
      <c r="E54" s="96"/>
      <c r="F54" s="96"/>
      <c r="G54" s="96"/>
      <c r="H54" s="96"/>
      <c r="I54" s="96"/>
      <c r="J54" s="96"/>
      <c r="K54" s="96"/>
      <c r="L54" s="96"/>
      <c r="M54" s="96"/>
    </row>
    <row r="55" spans="2:13" ht="15.6" x14ac:dyDescent="0.3">
      <c r="B55" s="69">
        <v>21</v>
      </c>
      <c r="C55" s="95" t="s">
        <v>121</v>
      </c>
      <c r="D55" s="96" t="s">
        <v>267</v>
      </c>
      <c r="E55" s="96"/>
      <c r="F55" s="96"/>
      <c r="G55" s="96"/>
      <c r="H55" s="96"/>
      <c r="I55" s="96"/>
      <c r="J55" s="96"/>
      <c r="K55" s="96"/>
      <c r="L55" s="96"/>
      <c r="M55" s="96"/>
    </row>
    <row r="56" spans="2:13" ht="28.8" x14ac:dyDescent="0.3">
      <c r="B56" s="69">
        <v>22</v>
      </c>
      <c r="C56" s="95" t="s">
        <v>122</v>
      </c>
      <c r="D56" s="96" t="s">
        <v>268</v>
      </c>
      <c r="E56" s="96"/>
      <c r="F56" s="96"/>
      <c r="G56" s="96"/>
      <c r="H56" s="96"/>
      <c r="I56" s="96"/>
      <c r="J56" s="96"/>
      <c r="K56" s="96"/>
      <c r="L56" s="96"/>
      <c r="M56" s="96"/>
    </row>
    <row r="57" spans="2:13" ht="28.8" x14ac:dyDescent="0.3">
      <c r="B57" s="69">
        <v>23</v>
      </c>
      <c r="C57" s="95" t="s">
        <v>123</v>
      </c>
      <c r="D57" s="96" t="s">
        <v>269</v>
      </c>
      <c r="E57" s="96"/>
      <c r="F57" s="96"/>
      <c r="G57" s="96"/>
      <c r="H57" s="96"/>
      <c r="I57" s="96"/>
      <c r="J57" s="96"/>
      <c r="K57" s="96"/>
      <c r="L57" s="96"/>
      <c r="M57" s="96"/>
    </row>
    <row r="58" spans="2:13" ht="28.8" x14ac:dyDescent="0.3">
      <c r="B58" s="69">
        <v>24</v>
      </c>
      <c r="C58" s="95" t="s">
        <v>124</v>
      </c>
      <c r="D58" s="96" t="s">
        <v>270</v>
      </c>
      <c r="E58" s="96"/>
      <c r="F58" s="96"/>
      <c r="G58" s="96"/>
      <c r="H58" s="96"/>
      <c r="I58" s="96"/>
      <c r="J58" s="96"/>
      <c r="K58" s="96"/>
      <c r="L58" s="96"/>
      <c r="M58" s="96"/>
    </row>
  </sheetData>
  <mergeCells count="29">
    <mergeCell ref="D48:M48"/>
    <mergeCell ref="D49:M49"/>
    <mergeCell ref="D35:M35"/>
    <mergeCell ref="A2:D2"/>
    <mergeCell ref="B1:D1"/>
    <mergeCell ref="E1:H1"/>
    <mergeCell ref="I1:L1"/>
    <mergeCell ref="M1:M2"/>
    <mergeCell ref="D50:M50"/>
    <mergeCell ref="D51:M51"/>
    <mergeCell ref="D52:M52"/>
    <mergeCell ref="D53:M53"/>
    <mergeCell ref="D54:M54"/>
    <mergeCell ref="D55:M55"/>
    <mergeCell ref="D56:M56"/>
    <mergeCell ref="D57:M57"/>
    <mergeCell ref="D58:M58"/>
    <mergeCell ref="D36:M36"/>
    <mergeCell ref="D37:M37"/>
    <mergeCell ref="D38:M38"/>
    <mergeCell ref="D39:M39"/>
    <mergeCell ref="D40:M40"/>
    <mergeCell ref="D41:M41"/>
    <mergeCell ref="D42:M42"/>
    <mergeCell ref="D43:M43"/>
    <mergeCell ref="D44:M44"/>
    <mergeCell ref="D45:M45"/>
    <mergeCell ref="D46:M46"/>
    <mergeCell ref="D47:M47"/>
  </mergeCells>
  <hyperlinks>
    <hyperlink ref="D35" r:id="rId1" location=":~:text=We%20anticipate%202026%20capital%20expenditures,Labs%20efforts%20and%20core%20business." xr:uid="{F140BDE3-117E-4BBE-A692-E7A8CC3B8135}"/>
    <hyperlink ref="B1:D1" location="Readme!A1" display="&lt;&lt; Back to home" xr:uid="{CDF480A8-738B-4F23-8591-0E6B4A932776}"/>
  </hyperlinks>
  <pageMargins left="0.7" right="0.7" top="0.75" bottom="0.75" header="0.3" footer="0.3"/>
  <ignoredErrors>
    <ignoredError sqref="E16:H16" formulaRange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FDCC6-DB62-4260-B660-85074F9B9EB4}">
  <dimension ref="A1:L34"/>
  <sheetViews>
    <sheetView showGridLines="0" zoomScale="90" zoomScaleNormal="90" workbookViewId="0">
      <pane ySplit="2" topLeftCell="A12" activePane="bottomLeft" state="frozen"/>
      <selection activeCell="G24" sqref="G24"/>
      <selection pane="bottomLeft" activeCell="D5" sqref="D5"/>
    </sheetView>
  </sheetViews>
  <sheetFormatPr defaultRowHeight="14.4" x14ac:dyDescent="0.3"/>
  <cols>
    <col min="1" max="1" width="2.109375" customWidth="1"/>
    <col min="2" max="2" width="6.5546875" customWidth="1"/>
    <col min="3" max="3" width="14" customWidth="1"/>
    <col min="4" max="4" width="31" customWidth="1"/>
    <col min="5" max="8" width="19.109375" customWidth="1"/>
    <col min="9" max="12" width="20.88671875" customWidth="1"/>
  </cols>
  <sheetData>
    <row r="1" spans="1:12" ht="21" customHeight="1" x14ac:dyDescent="0.4">
      <c r="A1" s="87"/>
      <c r="B1" s="119" t="s">
        <v>236</v>
      </c>
      <c r="C1" s="119"/>
      <c r="D1" s="119"/>
      <c r="E1" s="116" t="s">
        <v>1</v>
      </c>
      <c r="F1" s="116"/>
      <c r="G1" s="116"/>
      <c r="H1" s="116"/>
      <c r="I1" s="117" t="s">
        <v>2</v>
      </c>
      <c r="J1" s="117"/>
      <c r="K1" s="117"/>
      <c r="L1" s="117"/>
    </row>
    <row r="2" spans="1:12" ht="37.200000000000003" customHeight="1" x14ac:dyDescent="0.4">
      <c r="A2" s="118" t="s">
        <v>0</v>
      </c>
      <c r="B2" s="118"/>
      <c r="C2" s="118"/>
      <c r="D2" s="118"/>
      <c r="E2" s="4">
        <v>2022</v>
      </c>
      <c r="F2" s="4">
        <v>2023</v>
      </c>
      <c r="G2" s="4">
        <v>2024</v>
      </c>
      <c r="H2" s="4">
        <v>2025</v>
      </c>
      <c r="I2" s="3">
        <v>2026</v>
      </c>
      <c r="J2" s="3">
        <v>2027</v>
      </c>
      <c r="K2" s="3">
        <v>2028</v>
      </c>
      <c r="L2" s="3">
        <v>2029</v>
      </c>
    </row>
    <row r="3" spans="1:12" x14ac:dyDescent="0.3">
      <c r="E3" s="5"/>
      <c r="F3" s="5"/>
      <c r="G3" s="5"/>
      <c r="H3" s="5"/>
      <c r="I3" s="5"/>
      <c r="J3" s="5"/>
      <c r="K3" s="5"/>
      <c r="L3" s="5"/>
    </row>
    <row r="4" spans="1:12" x14ac:dyDescent="0.3">
      <c r="E4" s="5"/>
      <c r="F4" s="5"/>
      <c r="G4" s="5"/>
      <c r="H4" s="5"/>
      <c r="I4" s="5"/>
      <c r="J4" s="5"/>
      <c r="K4" s="5"/>
      <c r="L4" s="5"/>
    </row>
    <row r="5" spans="1:12" ht="15.6" x14ac:dyDescent="0.3">
      <c r="B5" s="7" t="s">
        <v>5</v>
      </c>
      <c r="C5" s="8"/>
      <c r="D5" s="8"/>
      <c r="E5" s="20">
        <v>116609000000</v>
      </c>
      <c r="F5" s="20">
        <v>134902000000</v>
      </c>
      <c r="G5" s="20">
        <v>164501000000</v>
      </c>
      <c r="H5" s="20">
        <v>200966000000</v>
      </c>
      <c r="I5" s="21">
        <f>H5*(1+Assumptions!I6)</f>
        <v>249197840000</v>
      </c>
      <c r="J5" s="21">
        <f>I5*(1+Assumptions!J6)</f>
        <v>309005321600</v>
      </c>
      <c r="K5" s="21">
        <f>J5*(1+Assumptions!K6)</f>
        <v>383166598784</v>
      </c>
      <c r="L5" s="21">
        <f>K5*(1+Assumptions!L6)</f>
        <v>475126582492.15997</v>
      </c>
    </row>
    <row r="6" spans="1:12" ht="15.6" x14ac:dyDescent="0.3">
      <c r="B6" s="8"/>
      <c r="C6" s="8" t="s">
        <v>7</v>
      </c>
      <c r="D6" s="8"/>
      <c r="E6" s="22">
        <v>25249000000</v>
      </c>
      <c r="F6" s="22">
        <v>25959000000</v>
      </c>
      <c r="G6" s="22">
        <v>30161000000</v>
      </c>
      <c r="H6" s="22">
        <v>36175000000</v>
      </c>
      <c r="I6" s="21">
        <f>I5*Assumptions!I7</f>
        <v>49839568000</v>
      </c>
      <c r="J6" s="21">
        <f>J5*Assumptions!J7</f>
        <v>61801064320</v>
      </c>
      <c r="K6" s="21">
        <f>K5*Assumptions!K7</f>
        <v>76633319756.800003</v>
      </c>
      <c r="L6" s="21">
        <f>L5*Assumptions!L7</f>
        <v>95025316498.432007</v>
      </c>
    </row>
    <row r="7" spans="1:12" ht="15.6" x14ac:dyDescent="0.3">
      <c r="B7" s="11" t="s">
        <v>6</v>
      </c>
      <c r="C7" s="12"/>
      <c r="D7" s="12"/>
      <c r="E7" s="23">
        <f>E5-E6</f>
        <v>91360000000</v>
      </c>
      <c r="F7" s="23">
        <f t="shared" ref="F7:L7" si="0">F5-F6</f>
        <v>108943000000</v>
      </c>
      <c r="G7" s="23">
        <f t="shared" si="0"/>
        <v>134340000000</v>
      </c>
      <c r="H7" s="23">
        <f t="shared" si="0"/>
        <v>164791000000</v>
      </c>
      <c r="I7" s="23">
        <f t="shared" si="0"/>
        <v>199358272000</v>
      </c>
      <c r="J7" s="23">
        <f t="shared" si="0"/>
        <v>247204257280</v>
      </c>
      <c r="K7" s="23">
        <f t="shared" si="0"/>
        <v>306533279027.20001</v>
      </c>
      <c r="L7" s="23">
        <f t="shared" si="0"/>
        <v>380101265993.72797</v>
      </c>
    </row>
    <row r="8" spans="1:12" ht="15.6" x14ac:dyDescent="0.3">
      <c r="B8" s="8"/>
      <c r="C8" s="8"/>
      <c r="D8" s="8"/>
      <c r="E8" s="21"/>
      <c r="F8" s="21"/>
      <c r="G8" s="21"/>
      <c r="H8" s="21"/>
      <c r="I8" s="21"/>
      <c r="J8" s="21"/>
      <c r="K8" s="21"/>
      <c r="L8" s="21"/>
    </row>
    <row r="9" spans="1:12" ht="15.6" x14ac:dyDescent="0.3">
      <c r="B9" s="7" t="s">
        <v>10</v>
      </c>
      <c r="C9" s="8"/>
      <c r="D9" s="8"/>
      <c r="E9" s="21"/>
      <c r="F9" s="21"/>
      <c r="G9" s="21"/>
      <c r="H9" s="21"/>
      <c r="I9" s="21"/>
      <c r="J9" s="21"/>
      <c r="K9" s="21"/>
      <c r="L9" s="21"/>
    </row>
    <row r="10" spans="1:12" ht="15.6" x14ac:dyDescent="0.3">
      <c r="B10" s="8"/>
      <c r="C10" s="8" t="s">
        <v>8</v>
      </c>
      <c r="D10" s="8"/>
      <c r="E10" s="20">
        <v>27078000000</v>
      </c>
      <c r="F10" s="20">
        <v>23709000000</v>
      </c>
      <c r="G10" s="20">
        <v>21087000000</v>
      </c>
      <c r="H10" s="20">
        <v>24143000000</v>
      </c>
      <c r="I10" s="21">
        <f>Assumptions!I14*I5</f>
        <v>39871654400</v>
      </c>
      <c r="J10" s="21">
        <f>Assumptions!J14*J5</f>
        <v>49440851456</v>
      </c>
      <c r="K10" s="21">
        <f>Assumptions!K14*K5</f>
        <v>61306655805.440002</v>
      </c>
      <c r="L10" s="21">
        <f>Assumptions!L14*L5</f>
        <v>76020253198.74559</v>
      </c>
    </row>
    <row r="11" spans="1:12" ht="15.6" x14ac:dyDescent="0.3">
      <c r="B11" s="8"/>
      <c r="C11" s="8" t="s">
        <v>9</v>
      </c>
      <c r="D11" s="8"/>
      <c r="E11" s="22">
        <v>35338000000</v>
      </c>
      <c r="F11" s="22">
        <v>38483000000</v>
      </c>
      <c r="G11" s="22">
        <v>43873000000</v>
      </c>
      <c r="H11" s="22">
        <v>57372000000</v>
      </c>
      <c r="I11" s="21">
        <f>Assumptions!I15*I5</f>
        <v>69775395200</v>
      </c>
      <c r="J11" s="21">
        <f>Assumptions!J15*J5</f>
        <v>86521490048.000015</v>
      </c>
      <c r="K11" s="21">
        <f>Assumptions!K15*K5</f>
        <v>107286647659.52</v>
      </c>
      <c r="L11" s="21">
        <f>Assumptions!L15*L5</f>
        <v>133035443097.80481</v>
      </c>
    </row>
    <row r="12" spans="1:12" ht="15.6" x14ac:dyDescent="0.3">
      <c r="B12" s="11" t="s">
        <v>11</v>
      </c>
      <c r="C12" s="12"/>
      <c r="D12" s="12"/>
      <c r="E12" s="23">
        <f>E7-SUM(E10:E11)</f>
        <v>28944000000</v>
      </c>
      <c r="F12" s="23">
        <f t="shared" ref="F12:L12" si="1">F7-SUM(F10:F11)</f>
        <v>46751000000</v>
      </c>
      <c r="G12" s="23">
        <f t="shared" si="1"/>
        <v>69380000000</v>
      </c>
      <c r="H12" s="23">
        <f t="shared" si="1"/>
        <v>83276000000</v>
      </c>
      <c r="I12" s="23">
        <f t="shared" si="1"/>
        <v>89711222400</v>
      </c>
      <c r="J12" s="23">
        <f t="shared" si="1"/>
        <v>111241915775.99998</v>
      </c>
      <c r="K12" s="23">
        <f t="shared" si="1"/>
        <v>137939975562.23999</v>
      </c>
      <c r="L12" s="23">
        <f t="shared" si="1"/>
        <v>171045569697.17755</v>
      </c>
    </row>
    <row r="13" spans="1:12" ht="15.6" x14ac:dyDescent="0.3">
      <c r="B13" s="8"/>
      <c r="C13" s="8"/>
      <c r="D13" s="8"/>
      <c r="E13" s="21"/>
      <c r="F13" s="21"/>
      <c r="G13" s="21"/>
      <c r="H13" s="21"/>
      <c r="I13" s="21"/>
      <c r="J13" s="21"/>
      <c r="K13" s="21"/>
      <c r="L13" s="21"/>
    </row>
    <row r="14" spans="1:12" ht="15.6" x14ac:dyDescent="0.3">
      <c r="B14" s="8" t="s">
        <v>12</v>
      </c>
      <c r="C14" s="8"/>
      <c r="D14" s="8"/>
      <c r="E14" s="21"/>
      <c r="F14" s="21"/>
      <c r="G14" s="21"/>
      <c r="H14" s="21"/>
      <c r="I14" s="21"/>
      <c r="J14" s="21"/>
      <c r="K14" s="21"/>
      <c r="L14" s="21"/>
    </row>
    <row r="15" spans="1:12" ht="15.6" x14ac:dyDescent="0.3">
      <c r="B15" s="8"/>
      <c r="C15" s="8" t="s">
        <v>96</v>
      </c>
      <c r="D15" s="8"/>
      <c r="E15" s="20">
        <v>-44000000</v>
      </c>
      <c r="F15" s="20">
        <v>1043000000</v>
      </c>
      <c r="G15" s="20">
        <v>1973000000</v>
      </c>
      <c r="H15" s="20">
        <v>2304000000</v>
      </c>
      <c r="I15" s="21">
        <f ca="1">Assumptions!I16*SUM('Balance Sheet'!I9:I11)</f>
        <v>2925863621.9550586</v>
      </c>
      <c r="J15" s="21">
        <f ca="1">Assumptions!J16*SUM('Balance Sheet'!J9:J11)</f>
        <v>4659222332.1320724</v>
      </c>
      <c r="K15" s="21">
        <f ca="1">Assumptions!K16*SUM('Balance Sheet'!K9:K11)</f>
        <v>7474110327.9468822</v>
      </c>
      <c r="L15" s="21">
        <f ca="1">Assumptions!L16*SUM('Balance Sheet'!L9:L11)</f>
        <v>11336866748.429131</v>
      </c>
    </row>
    <row r="16" spans="1:12" ht="15.6" x14ac:dyDescent="0.3">
      <c r="B16" s="8"/>
      <c r="C16" s="8" t="s">
        <v>13</v>
      </c>
      <c r="D16" s="8"/>
      <c r="E16" s="22">
        <v>-81000000</v>
      </c>
      <c r="F16" s="22">
        <v>-366000000</v>
      </c>
      <c r="G16" s="22">
        <v>-690000000</v>
      </c>
      <c r="H16" s="22">
        <v>352000000</v>
      </c>
      <c r="I16" s="21">
        <v>0</v>
      </c>
      <c r="J16" s="21">
        <v>0</v>
      </c>
      <c r="K16" s="21">
        <v>0</v>
      </c>
      <c r="L16" s="21">
        <v>0</v>
      </c>
    </row>
    <row r="17" spans="2:12" ht="15.6" x14ac:dyDescent="0.3">
      <c r="B17" s="11" t="s">
        <v>14</v>
      </c>
      <c r="C17" s="12"/>
      <c r="D17" s="12"/>
      <c r="E17" s="23">
        <f>E12+SUM(E15:E16)</f>
        <v>28819000000</v>
      </c>
      <c r="F17" s="23">
        <f t="shared" ref="F17:H17" si="2">F12+SUM(F15:F16)</f>
        <v>47428000000</v>
      </c>
      <c r="G17" s="23">
        <f t="shared" si="2"/>
        <v>70663000000</v>
      </c>
      <c r="H17" s="23">
        <f t="shared" si="2"/>
        <v>85932000000</v>
      </c>
      <c r="I17" s="23">
        <f t="shared" ref="I17" ca="1" si="3">I12+SUM(I15:I16)</f>
        <v>92637086021.955063</v>
      </c>
      <c r="J17" s="23">
        <f t="shared" ref="J17" ca="1" si="4">J12+SUM(J15:J16)</f>
        <v>115901138108.13205</v>
      </c>
      <c r="K17" s="23">
        <f t="shared" ref="K17" ca="1" si="5">K12+SUM(K15:K16)</f>
        <v>145414085890.18686</v>
      </c>
      <c r="L17" s="23">
        <f t="shared" ref="L17" ca="1" si="6">L12+SUM(L15:L16)</f>
        <v>182382436445.60669</v>
      </c>
    </row>
    <row r="18" spans="2:12" ht="15.6" x14ac:dyDescent="0.3"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</row>
    <row r="19" spans="2:12" ht="15.6" x14ac:dyDescent="0.3">
      <c r="B19" s="8" t="s">
        <v>15</v>
      </c>
      <c r="C19" s="8"/>
      <c r="D19" s="8"/>
      <c r="E19" s="22">
        <v>5619000000</v>
      </c>
      <c r="F19" s="22">
        <v>8330000000</v>
      </c>
      <c r="G19" s="22">
        <v>8303000000</v>
      </c>
      <c r="H19" s="22">
        <v>25474000000</v>
      </c>
      <c r="I19" s="21">
        <f ca="1">I17*Assumptions!I9</f>
        <v>18527417204.391014</v>
      </c>
      <c r="J19" s="21">
        <f ca="1">J17*Assumptions!J9</f>
        <v>23180227621.626411</v>
      </c>
      <c r="K19" s="21">
        <f ca="1">K17*Assumptions!K9</f>
        <v>29082817178.037373</v>
      </c>
      <c r="L19" s="21">
        <f ca="1">L17*Assumptions!L9</f>
        <v>36476487289.121338</v>
      </c>
    </row>
    <row r="20" spans="2:12" ht="15.6" x14ac:dyDescent="0.3">
      <c r="B20" s="13" t="s">
        <v>16</v>
      </c>
      <c r="C20" s="14"/>
      <c r="D20" s="14"/>
      <c r="E20" s="24">
        <f>E17-E19</f>
        <v>23200000000</v>
      </c>
      <c r="F20" s="24">
        <f t="shared" ref="F20:H20" si="7">F17-F19</f>
        <v>39098000000</v>
      </c>
      <c r="G20" s="24">
        <f t="shared" si="7"/>
        <v>62360000000</v>
      </c>
      <c r="H20" s="24">
        <f t="shared" si="7"/>
        <v>60458000000</v>
      </c>
      <c r="I20" s="24">
        <f t="shared" ref="I20" ca="1" si="8">I17-I19</f>
        <v>74109668817.564056</v>
      </c>
      <c r="J20" s="24">
        <f t="shared" ref="J20" ca="1" si="9">J17-J19</f>
        <v>92720910486.505646</v>
      </c>
      <c r="K20" s="24">
        <f t="shared" ref="K20" ca="1" si="10">K17-K19</f>
        <v>116331268712.14949</v>
      </c>
      <c r="L20" s="24">
        <f t="shared" ref="L20" ca="1" si="11">L17-L19</f>
        <v>145905949156.48535</v>
      </c>
    </row>
    <row r="21" spans="2:12" ht="15.6" x14ac:dyDescent="0.3">
      <c r="B21" s="7"/>
      <c r="C21" s="8"/>
      <c r="D21" s="8"/>
      <c r="E21" s="21"/>
      <c r="F21" s="21"/>
      <c r="G21" s="21"/>
      <c r="H21" s="21"/>
      <c r="I21" s="21"/>
      <c r="J21" s="21"/>
      <c r="K21" s="21"/>
      <c r="L21" s="21"/>
    </row>
    <row r="22" spans="2:12" ht="15.6" x14ac:dyDescent="0.3">
      <c r="B22" s="7"/>
      <c r="C22" s="8" t="s">
        <v>24</v>
      </c>
      <c r="D22" s="8"/>
      <c r="E22" s="20">
        <v>185000000</v>
      </c>
      <c r="F22" s="20">
        <v>446000000</v>
      </c>
      <c r="G22" s="20">
        <v>715000000</v>
      </c>
      <c r="H22" s="20">
        <v>1165000000</v>
      </c>
      <c r="I22" s="21">
        <f>'Balance Sheet'!I37*Assumptions!I10</f>
        <v>1999880000</v>
      </c>
      <c r="J22" s="21">
        <f>'Balance Sheet'!J37*Assumptions!J10</f>
        <v>2725880000</v>
      </c>
      <c r="K22" s="21">
        <f>'Balance Sheet'!K37*Assumptions!K10</f>
        <v>3319880000</v>
      </c>
      <c r="L22" s="21">
        <f>'Balance Sheet'!L37*Assumptions!L10</f>
        <v>3913880000</v>
      </c>
    </row>
    <row r="23" spans="2:12" ht="15.6" x14ac:dyDescent="0.3">
      <c r="B23" s="8"/>
      <c r="C23" s="8" t="s">
        <v>23</v>
      </c>
      <c r="D23" s="8"/>
      <c r="E23" s="22">
        <v>8686000000</v>
      </c>
      <c r="F23" s="22">
        <v>11178000000</v>
      </c>
      <c r="G23" s="22">
        <v>15498000000</v>
      </c>
      <c r="H23" s="22">
        <v>18616000000</v>
      </c>
      <c r="I23" s="21">
        <f>'Balance Sheet'!I14*Assumptions!I8</f>
        <v>30212360000</v>
      </c>
      <c r="J23" s="21">
        <f>'Balance Sheet'!J14*Assumptions!J8</f>
        <v>38191124000</v>
      </c>
      <c r="K23" s="21">
        <f>'Balance Sheet'!K14*Assumptions!K8</f>
        <v>43372011600</v>
      </c>
      <c r="L23" s="21">
        <f>'Balance Sheet'!L14*Assumptions!L8</f>
        <v>48034810440</v>
      </c>
    </row>
    <row r="24" spans="2:12" ht="15.6" x14ac:dyDescent="0.3">
      <c r="B24" s="11" t="s">
        <v>17</v>
      </c>
      <c r="C24" s="12"/>
      <c r="D24" s="12"/>
      <c r="E24" s="23">
        <f>E17+SUM(E22:E23)</f>
        <v>37690000000</v>
      </c>
      <c r="F24" s="23">
        <f t="shared" ref="F24:H24" si="12">F17+SUM(F22:F23)</f>
        <v>59052000000</v>
      </c>
      <c r="G24" s="23">
        <f t="shared" si="12"/>
        <v>86876000000</v>
      </c>
      <c r="H24" s="23">
        <f t="shared" si="12"/>
        <v>105713000000</v>
      </c>
      <c r="I24" s="23">
        <f t="shared" ref="I24" ca="1" si="13">I17+SUM(I22:I23)</f>
        <v>124849326021.95506</v>
      </c>
      <c r="J24" s="23">
        <f t="shared" ref="J24" ca="1" si="14">J17+SUM(J22:J23)</f>
        <v>156818142108.13205</v>
      </c>
      <c r="K24" s="23">
        <f t="shared" ref="K24" ca="1" si="15">K17+SUM(K22:K23)</f>
        <v>192105977490.18686</v>
      </c>
      <c r="L24" s="23">
        <f t="shared" ref="L24" ca="1" si="16">L17+SUM(L22:L23)</f>
        <v>234331126885.60669</v>
      </c>
    </row>
    <row r="25" spans="2:12" ht="15.6" x14ac:dyDescent="0.3">
      <c r="B25" s="8"/>
      <c r="C25" s="8"/>
      <c r="D25" s="8"/>
      <c r="E25" s="25"/>
      <c r="F25" s="25"/>
      <c r="G25" s="25"/>
      <c r="H25" s="25"/>
      <c r="I25" s="21"/>
      <c r="J25" s="21"/>
      <c r="K25" s="21"/>
      <c r="L25" s="21"/>
    </row>
    <row r="26" spans="2:12" ht="15.6" x14ac:dyDescent="0.3">
      <c r="B26" s="11" t="s">
        <v>18</v>
      </c>
      <c r="C26" s="12"/>
      <c r="D26" s="12"/>
      <c r="E26" s="23">
        <f>E24-E23</f>
        <v>29004000000</v>
      </c>
      <c r="F26" s="23">
        <f t="shared" ref="F26:L26" si="17">F24-F23</f>
        <v>47874000000</v>
      </c>
      <c r="G26" s="23">
        <f t="shared" si="17"/>
        <v>71378000000</v>
      </c>
      <c r="H26" s="23">
        <f t="shared" si="17"/>
        <v>87097000000</v>
      </c>
      <c r="I26" s="23">
        <f t="shared" ca="1" si="17"/>
        <v>94636966021.955063</v>
      </c>
      <c r="J26" s="23">
        <f t="shared" ca="1" si="17"/>
        <v>118627018108.13205</v>
      </c>
      <c r="K26" s="23">
        <f t="shared" ca="1" si="17"/>
        <v>148733965890.18686</v>
      </c>
      <c r="L26" s="23">
        <f t="shared" ca="1" si="17"/>
        <v>186296316445.60669</v>
      </c>
    </row>
    <row r="27" spans="2:12" ht="15.6" x14ac:dyDescent="0.3">
      <c r="B27" s="8"/>
      <c r="C27" s="8"/>
      <c r="D27" s="8"/>
      <c r="E27" s="21"/>
      <c r="F27" s="21"/>
      <c r="G27" s="21"/>
      <c r="H27" s="21"/>
      <c r="I27" s="21"/>
      <c r="J27" s="21"/>
      <c r="K27" s="21"/>
      <c r="L27" s="21"/>
    </row>
    <row r="28" spans="2:12" ht="15.6" x14ac:dyDescent="0.3">
      <c r="B28" s="7" t="s">
        <v>19</v>
      </c>
      <c r="C28" s="8"/>
      <c r="D28" s="8"/>
      <c r="E28" s="21"/>
      <c r="F28" s="21"/>
      <c r="G28" s="21"/>
      <c r="H28" s="21"/>
      <c r="I28" s="21"/>
      <c r="J28" s="21"/>
      <c r="K28" s="21"/>
      <c r="L28" s="21"/>
    </row>
    <row r="29" spans="2:12" ht="15.6" x14ac:dyDescent="0.3">
      <c r="B29" s="11"/>
      <c r="C29" s="12" t="s">
        <v>25</v>
      </c>
      <c r="D29" s="12"/>
      <c r="E29" s="30">
        <f>E$20/E33</f>
        <v>8.5862324204293117</v>
      </c>
      <c r="F29" s="30">
        <f t="shared" ref="F29:H29" si="18">F$20/F33</f>
        <v>14.871814378090528</v>
      </c>
      <c r="G29" s="30">
        <f t="shared" si="18"/>
        <v>23.856159143075747</v>
      </c>
      <c r="H29" s="30">
        <f t="shared" si="18"/>
        <v>23.487956487956488</v>
      </c>
      <c r="I29" s="30">
        <f t="shared" ref="I29:L29" ca="1" si="19">I$20/I33</f>
        <v>28.791635127258765</v>
      </c>
      <c r="J29" s="30">
        <f t="shared" ca="1" si="19"/>
        <v>36.022109746117188</v>
      </c>
      <c r="K29" s="30">
        <f t="shared" ca="1" si="19"/>
        <v>45.194743089413166</v>
      </c>
      <c r="L29" s="30">
        <f t="shared" ca="1" si="19"/>
        <v>56.684517931812493</v>
      </c>
    </row>
    <row r="30" spans="2:12" ht="15.6" x14ac:dyDescent="0.3">
      <c r="B30" s="15"/>
      <c r="C30" s="16" t="s">
        <v>26</v>
      </c>
      <c r="D30" s="16"/>
      <c r="E30" s="31">
        <f>E$20/E34</f>
        <v>8.6341644957201336</v>
      </c>
      <c r="F30" s="31">
        <f t="shared" ref="F30:H30" si="20">F$20/F34</f>
        <v>15.189588189588189</v>
      </c>
      <c r="G30" s="31">
        <f t="shared" si="20"/>
        <v>24.609313338595108</v>
      </c>
      <c r="H30" s="31">
        <f t="shared" si="20"/>
        <v>23.981753272510907</v>
      </c>
      <c r="I30" s="31">
        <f t="shared" ref="I30:L30" ca="1" si="21">I$20/I34</f>
        <v>29.396933287411368</v>
      </c>
      <c r="J30" s="31">
        <f t="shared" ca="1" si="21"/>
        <v>36.779417091037544</v>
      </c>
      <c r="K30" s="31">
        <f t="shared" ca="1" si="21"/>
        <v>46.144890405453985</v>
      </c>
      <c r="L30" s="31">
        <f t="shared" ca="1" si="21"/>
        <v>57.876219419470587</v>
      </c>
    </row>
    <row r="31" spans="2:12" ht="15.6" x14ac:dyDescent="0.3">
      <c r="B31" s="8"/>
      <c r="C31" s="8"/>
      <c r="D31" s="8"/>
      <c r="E31" s="21"/>
      <c r="F31" s="21"/>
      <c r="G31" s="21"/>
      <c r="H31" s="21"/>
      <c r="I31" s="21"/>
      <c r="J31" s="21"/>
      <c r="K31" s="21"/>
      <c r="L31" s="21"/>
    </row>
    <row r="32" spans="2:12" ht="15.6" x14ac:dyDescent="0.3">
      <c r="B32" s="7" t="s">
        <v>20</v>
      </c>
      <c r="C32" s="8"/>
      <c r="D32" s="8"/>
      <c r="E32" s="21"/>
      <c r="F32" s="21"/>
      <c r="G32" s="21"/>
      <c r="H32" s="21"/>
      <c r="I32" s="21"/>
      <c r="J32" s="21"/>
      <c r="K32" s="21"/>
      <c r="L32" s="21"/>
    </row>
    <row r="33" spans="2:12" ht="15.6" x14ac:dyDescent="0.3">
      <c r="B33" s="12"/>
      <c r="C33" s="12" t="s">
        <v>21</v>
      </c>
      <c r="D33" s="12"/>
      <c r="E33" s="26">
        <v>2702000000</v>
      </c>
      <c r="F33" s="26">
        <v>2629000000</v>
      </c>
      <c r="G33" s="26">
        <v>2614000000</v>
      </c>
      <c r="H33" s="26">
        <v>2574000000</v>
      </c>
      <c r="I33" s="27">
        <v>2574000000</v>
      </c>
      <c r="J33" s="27">
        <v>2574000000</v>
      </c>
      <c r="K33" s="27">
        <v>2574000000</v>
      </c>
      <c r="L33" s="27">
        <v>2574000000</v>
      </c>
    </row>
    <row r="34" spans="2:12" ht="15.6" x14ac:dyDescent="0.3">
      <c r="B34" s="16"/>
      <c r="C34" s="16" t="s">
        <v>22</v>
      </c>
      <c r="D34" s="16"/>
      <c r="E34" s="28">
        <v>2687000000</v>
      </c>
      <c r="F34" s="28">
        <v>2574000000</v>
      </c>
      <c r="G34" s="28">
        <v>2534000000</v>
      </c>
      <c r="H34" s="28">
        <v>2521000000</v>
      </c>
      <c r="I34" s="29">
        <v>2521000000</v>
      </c>
      <c r="J34" s="29">
        <v>2521000000</v>
      </c>
      <c r="K34" s="29">
        <v>2521000000</v>
      </c>
      <c r="L34" s="29">
        <v>2521000000</v>
      </c>
    </row>
  </sheetData>
  <mergeCells count="4">
    <mergeCell ref="E1:H1"/>
    <mergeCell ref="I1:L1"/>
    <mergeCell ref="A2:D2"/>
    <mergeCell ref="B1:D1"/>
  </mergeCells>
  <hyperlinks>
    <hyperlink ref="B1:D1" location="Readme!A1" display="&lt;&lt; Back to home" xr:uid="{DF0E39C7-4AA3-4AA2-BE66-B23AB8C502CE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5FDE3-E9D7-428B-9281-64C63772D4A2}">
  <dimension ref="A1:L53"/>
  <sheetViews>
    <sheetView showGridLines="0" zoomScale="90" zoomScaleNormal="90" workbookViewId="0">
      <pane ySplit="2" topLeftCell="A3" activePane="bottomLeft" state="frozen"/>
      <selection activeCell="G24" sqref="G24"/>
      <selection pane="bottomLeft" activeCell="B1" sqref="B1:D1"/>
    </sheetView>
  </sheetViews>
  <sheetFormatPr defaultRowHeight="14.4" x14ac:dyDescent="0.3"/>
  <cols>
    <col min="1" max="1" width="2.33203125" customWidth="1"/>
    <col min="2" max="2" width="4.21875" customWidth="1"/>
    <col min="3" max="4" width="25.44140625" customWidth="1"/>
    <col min="5" max="12" width="19.109375" customWidth="1"/>
  </cols>
  <sheetData>
    <row r="1" spans="1:12" ht="21" customHeight="1" x14ac:dyDescent="0.4">
      <c r="A1" s="87"/>
      <c r="B1" s="119" t="s">
        <v>236</v>
      </c>
      <c r="C1" s="119"/>
      <c r="D1" s="119"/>
      <c r="E1" s="116" t="s">
        <v>1</v>
      </c>
      <c r="F1" s="116"/>
      <c r="G1" s="116"/>
      <c r="H1" s="116"/>
      <c r="I1" s="117" t="s">
        <v>2</v>
      </c>
      <c r="J1" s="117"/>
      <c r="K1" s="117"/>
      <c r="L1" s="117"/>
    </row>
    <row r="2" spans="1:12" ht="37.200000000000003" customHeight="1" x14ac:dyDescent="0.4">
      <c r="A2" s="118" t="s">
        <v>3</v>
      </c>
      <c r="B2" s="118"/>
      <c r="C2" s="118"/>
      <c r="D2" s="118"/>
      <c r="E2" s="4">
        <v>2022</v>
      </c>
      <c r="F2" s="4">
        <v>2023</v>
      </c>
      <c r="G2" s="4">
        <v>2024</v>
      </c>
      <c r="H2" s="4">
        <v>2025</v>
      </c>
      <c r="I2" s="3">
        <v>2026</v>
      </c>
      <c r="J2" s="3">
        <v>2027</v>
      </c>
      <c r="K2" s="3">
        <v>2028</v>
      </c>
      <c r="L2" s="3">
        <v>2029</v>
      </c>
    </row>
    <row r="5" spans="1:12" ht="15.6" x14ac:dyDescent="0.3">
      <c r="B5" s="7" t="s">
        <v>27</v>
      </c>
      <c r="C5" s="8"/>
      <c r="D5" s="8"/>
      <c r="E5" s="8"/>
      <c r="F5" s="8"/>
      <c r="G5" s="8"/>
      <c r="H5" s="8"/>
      <c r="I5" s="8"/>
      <c r="J5" s="8"/>
      <c r="K5" s="8"/>
      <c r="L5" s="8"/>
    </row>
    <row r="6" spans="1:12" ht="15.6" x14ac:dyDescent="0.3">
      <c r="B6" s="8"/>
      <c r="C6" s="8" t="s">
        <v>16</v>
      </c>
      <c r="D6" s="8"/>
      <c r="E6" s="20">
        <f>'Income Statement'!E20</f>
        <v>23200000000</v>
      </c>
      <c r="F6" s="20">
        <f>'Income Statement'!F20</f>
        <v>39098000000</v>
      </c>
      <c r="G6" s="20">
        <f>'Income Statement'!G20</f>
        <v>62360000000</v>
      </c>
      <c r="H6" s="20">
        <f>'Income Statement'!H20</f>
        <v>60458000000</v>
      </c>
      <c r="I6" s="21">
        <f ca="1">'Income Statement'!I20</f>
        <v>74109668817.564056</v>
      </c>
      <c r="J6" s="21">
        <f ca="1">'Income Statement'!J20</f>
        <v>92720910486.505646</v>
      </c>
      <c r="K6" s="21">
        <f ca="1">'Income Statement'!K20</f>
        <v>116331268712.14949</v>
      </c>
      <c r="L6" s="21">
        <f ca="1">'Income Statement'!L20</f>
        <v>145905949156.48535</v>
      </c>
    </row>
    <row r="7" spans="1:12" ht="15.6" x14ac:dyDescent="0.3">
      <c r="B7" s="7" t="s">
        <v>31</v>
      </c>
      <c r="C7" s="8"/>
      <c r="D7" s="8"/>
      <c r="E7" s="21"/>
      <c r="F7" s="21"/>
      <c r="G7" s="21"/>
      <c r="H7" s="21"/>
      <c r="I7" s="21"/>
      <c r="J7" s="21"/>
      <c r="K7" s="21"/>
      <c r="L7" s="21"/>
    </row>
    <row r="8" spans="1:12" ht="15.6" x14ac:dyDescent="0.3">
      <c r="B8" s="8"/>
      <c r="C8" s="8" t="s">
        <v>23</v>
      </c>
      <c r="D8" s="8"/>
      <c r="E8" s="32">
        <f>'Income Statement'!E23</f>
        <v>8686000000</v>
      </c>
      <c r="F8" s="32">
        <f>'Income Statement'!F23</f>
        <v>11178000000</v>
      </c>
      <c r="G8" s="32">
        <f>'Income Statement'!G23</f>
        <v>15498000000</v>
      </c>
      <c r="H8" s="32">
        <f>'Income Statement'!H23</f>
        <v>18616000000</v>
      </c>
      <c r="I8" s="21">
        <f>'Income Statement'!I23</f>
        <v>30212360000</v>
      </c>
      <c r="J8" s="21">
        <f>'Income Statement'!J23</f>
        <v>38191124000</v>
      </c>
      <c r="K8" s="21">
        <f>'Income Statement'!K23</f>
        <v>43372011600</v>
      </c>
      <c r="L8" s="21">
        <f>'Income Statement'!L23</f>
        <v>48034810440</v>
      </c>
    </row>
    <row r="9" spans="1:12" ht="15.6" x14ac:dyDescent="0.3">
      <c r="B9" s="8"/>
      <c r="C9" s="8" t="s">
        <v>28</v>
      </c>
      <c r="D9" s="8"/>
      <c r="E9" s="32">
        <v>11992000000</v>
      </c>
      <c r="F9" s="33">
        <v>14027000000</v>
      </c>
      <c r="G9" s="32">
        <v>16690000000</v>
      </c>
      <c r="H9" s="32">
        <v>20427000000</v>
      </c>
      <c r="I9" s="21">
        <f>'Balance Sheet'!I41-'Balance Sheet'!H41</f>
        <v>16346028000</v>
      </c>
      <c r="J9" s="21">
        <f>'Balance Sheet'!J41-'Balance Sheet'!I41</f>
        <v>26913366720</v>
      </c>
      <c r="K9" s="21">
        <f>'Balance Sheet'!K41-'Balance Sheet'!J41</f>
        <v>33372574732.800018</v>
      </c>
      <c r="L9" s="21">
        <f>'Balance Sheet'!L41-'Balance Sheet'!K41</f>
        <v>41381992668.671967</v>
      </c>
    </row>
    <row r="10" spans="1:12" ht="15.6" x14ac:dyDescent="0.3">
      <c r="B10" s="8"/>
      <c r="C10" s="8" t="s">
        <v>29</v>
      </c>
      <c r="D10" s="8"/>
      <c r="E10" s="32">
        <v>-3286000000</v>
      </c>
      <c r="F10" s="20">
        <v>131000000</v>
      </c>
      <c r="G10" s="32">
        <v>-4738000000</v>
      </c>
      <c r="H10" s="32">
        <v>18738000000</v>
      </c>
      <c r="I10" s="21">
        <f>Assumptions!I28*'Cash Flow Statement'!I8</f>
        <v>24169888000</v>
      </c>
      <c r="J10" s="21">
        <f>Assumptions!J28*'Cash Flow Statement'!J8</f>
        <v>30552899200</v>
      </c>
      <c r="K10" s="21">
        <f>Assumptions!K28*'Cash Flow Statement'!K8</f>
        <v>34697609280</v>
      </c>
      <c r="L10" s="21">
        <f>Assumptions!L28*'Cash Flow Statement'!L8</f>
        <v>38427848352</v>
      </c>
    </row>
    <row r="11" spans="1:12" ht="15.6" x14ac:dyDescent="0.3">
      <c r="B11" s="8"/>
      <c r="C11" s="8" t="s">
        <v>120</v>
      </c>
      <c r="D11" s="8"/>
      <c r="E11" s="32">
        <v>463000000</v>
      </c>
      <c r="F11" s="32">
        <v>102000000</v>
      </c>
      <c r="G11" s="32">
        <v>-53000000</v>
      </c>
      <c r="H11" s="32">
        <v>-1138000000</v>
      </c>
      <c r="I11" s="21">
        <f>'Balance Sheet'!I16-'Balance Sheet'!H16</f>
        <v>0</v>
      </c>
      <c r="J11" s="21">
        <f>'Balance Sheet'!J16-'Balance Sheet'!I16</f>
        <v>0</v>
      </c>
      <c r="K11" s="21">
        <f>'Balance Sheet'!K16-'Balance Sheet'!J16</f>
        <v>0</v>
      </c>
      <c r="L11" s="21">
        <f>'Balance Sheet'!L16-'Balance Sheet'!K16</f>
        <v>0</v>
      </c>
    </row>
    <row r="12" spans="1:12" ht="15.6" x14ac:dyDescent="0.3">
      <c r="B12" s="8"/>
      <c r="C12" s="8" t="s">
        <v>30</v>
      </c>
      <c r="D12" s="8"/>
      <c r="E12" s="32">
        <v>2218000000</v>
      </c>
      <c r="F12" s="32">
        <v>2432000000</v>
      </c>
      <c r="G12" s="32">
        <v>383000000</v>
      </c>
      <c r="H12" s="32">
        <v>0</v>
      </c>
      <c r="I12" s="21">
        <v>0</v>
      </c>
      <c r="J12" s="21">
        <v>0</v>
      </c>
      <c r="K12" s="21">
        <v>0</v>
      </c>
      <c r="L12" s="21">
        <v>0</v>
      </c>
    </row>
    <row r="13" spans="1:12" ht="15.6" x14ac:dyDescent="0.3">
      <c r="B13" s="8"/>
      <c r="C13" s="8" t="s">
        <v>32</v>
      </c>
      <c r="D13" s="8"/>
      <c r="E13" s="32">
        <v>1519000000</v>
      </c>
      <c r="F13" s="32">
        <v>309000000</v>
      </c>
      <c r="G13" s="32">
        <v>140000000</v>
      </c>
      <c r="H13" s="32">
        <v>-416000000</v>
      </c>
      <c r="I13" s="21">
        <v>0</v>
      </c>
      <c r="J13" s="21">
        <v>0</v>
      </c>
      <c r="K13" s="21">
        <v>0</v>
      </c>
      <c r="L13" s="21">
        <v>0</v>
      </c>
    </row>
    <row r="14" spans="1:12" ht="15.6" x14ac:dyDescent="0.3">
      <c r="B14" s="8"/>
      <c r="C14" s="8"/>
      <c r="D14" s="8"/>
      <c r="E14" s="21"/>
      <c r="F14" s="21"/>
      <c r="G14" s="21"/>
      <c r="H14" s="21"/>
      <c r="I14" s="21"/>
      <c r="J14" s="21"/>
      <c r="K14" s="21"/>
      <c r="L14" s="21"/>
    </row>
    <row r="15" spans="1:12" ht="15.6" x14ac:dyDescent="0.3">
      <c r="B15" s="7" t="s">
        <v>33</v>
      </c>
      <c r="C15" s="8"/>
      <c r="D15" s="8"/>
      <c r="E15" s="21"/>
      <c r="F15" s="21"/>
      <c r="G15" s="21"/>
      <c r="H15" s="21"/>
      <c r="I15" s="21"/>
      <c r="J15" s="21"/>
      <c r="K15" s="21"/>
      <c r="L15" s="21"/>
    </row>
    <row r="16" spans="1:12" ht="15.6" x14ac:dyDescent="0.3">
      <c r="B16" s="8"/>
      <c r="C16" s="8" t="s">
        <v>34</v>
      </c>
      <c r="D16" s="8"/>
      <c r="E16" s="32">
        <v>231000000</v>
      </c>
      <c r="F16" s="32">
        <v>-2399000000</v>
      </c>
      <c r="G16" s="32">
        <v>-1485000000</v>
      </c>
      <c r="H16" s="32">
        <v>-1815000000</v>
      </c>
      <c r="I16" s="21">
        <f>'Balance Sheet'!H8-'Balance Sheet'!I8</f>
        <v>-7540352328.7671204</v>
      </c>
      <c r="J16" s="21">
        <f>'Balance Sheet'!I8-'Balance Sheet'!J8</f>
        <v>-6554244558.90411</v>
      </c>
      <c r="K16" s="21">
        <f>'Balance Sheet'!J8-'Balance Sheet'!K8</f>
        <v>-8127263253.0410957</v>
      </c>
      <c r="L16" s="21">
        <f>'Balance Sheet'!K8-'Balance Sheet'!L8</f>
        <v>-10077806433.770958</v>
      </c>
    </row>
    <row r="17" spans="2:12" ht="15.6" x14ac:dyDescent="0.3">
      <c r="B17" s="8"/>
      <c r="C17" s="8" t="s">
        <v>35</v>
      </c>
      <c r="D17" s="8"/>
      <c r="E17" s="32">
        <v>162000000</v>
      </c>
      <c r="F17" s="32">
        <v>559000000</v>
      </c>
      <c r="G17" s="32">
        <v>-698000000</v>
      </c>
      <c r="H17" s="32">
        <v>-89000000</v>
      </c>
      <c r="I17" s="21">
        <f>'Income Statement'!I5*Assumptions!I27</f>
        <v>-74759352</v>
      </c>
      <c r="J17" s="21">
        <f>'Income Statement'!J5*Assumptions!J27</f>
        <v>-92701596.479999989</v>
      </c>
      <c r="K17" s="21">
        <f>'Income Statement'!K5*Assumptions!K27</f>
        <v>-114949979.63519999</v>
      </c>
      <c r="L17" s="21">
        <f>'Income Statement'!L5*Assumptions!L27</f>
        <v>-142537974.74764797</v>
      </c>
    </row>
    <row r="18" spans="2:12" ht="15.6" x14ac:dyDescent="0.3">
      <c r="B18" s="8"/>
      <c r="C18" s="8" t="s">
        <v>36</v>
      </c>
      <c r="D18" s="8"/>
      <c r="E18" s="32">
        <v>210000000</v>
      </c>
      <c r="F18" s="32">
        <v>51000000</v>
      </c>
      <c r="G18" s="32">
        <v>373000000</v>
      </c>
      <c r="H18" s="32">
        <v>-14000000</v>
      </c>
      <c r="I18" s="21">
        <f>'Balance Sheet'!I25-'Balance Sheet'!H25</f>
        <v>2029740931.5068493</v>
      </c>
      <c r="J18" s="21">
        <f>'Balance Sheet'!J25-'Balance Sheet'!I25</f>
        <v>2621697823.5616436</v>
      </c>
      <c r="K18" s="21">
        <f>'Balance Sheet'!K25-'Balance Sheet'!J25</f>
        <v>3250905301.2164383</v>
      </c>
      <c r="L18" s="21">
        <f>'Balance Sheet'!L25-'Balance Sheet'!K25</f>
        <v>4031122573.5083847</v>
      </c>
    </row>
    <row r="19" spans="2:12" ht="15.6" x14ac:dyDescent="0.3">
      <c r="B19" s="8"/>
      <c r="C19" s="8" t="s">
        <v>37</v>
      </c>
      <c r="D19" s="8"/>
      <c r="E19" s="32">
        <v>886000000</v>
      </c>
      <c r="F19" s="32">
        <v>624000000</v>
      </c>
      <c r="G19" s="32">
        <v>2805000000</v>
      </c>
      <c r="H19" s="32">
        <v>437000000</v>
      </c>
      <c r="I19" s="21">
        <f>'Balance Sheet'!I31-'Balance Sheet'!H31</f>
        <v>101752028000</v>
      </c>
      <c r="J19" s="21">
        <f>'Balance Sheet'!J31-'Balance Sheet'!I31</f>
        <v>26913366720</v>
      </c>
      <c r="K19" s="21">
        <f>'Balance Sheet'!K31-'Balance Sheet'!J31</f>
        <v>33372574732.800018</v>
      </c>
      <c r="L19" s="21">
        <f>'Balance Sheet'!L31-'Balance Sheet'!K31</f>
        <v>41381992668.671967</v>
      </c>
    </row>
    <row r="20" spans="2:12" ht="15.6" x14ac:dyDescent="0.3">
      <c r="B20" s="8"/>
      <c r="C20" s="8" t="s">
        <v>38</v>
      </c>
      <c r="D20" s="8"/>
      <c r="E20" s="32">
        <v>-106000000</v>
      </c>
      <c r="F20" s="32">
        <v>-80000000</v>
      </c>
      <c r="G20" s="32">
        <v>-270000000</v>
      </c>
      <c r="H20" s="32">
        <v>-481000000</v>
      </c>
      <c r="I20" s="21">
        <f>'Balance Sheet'!H7-'Balance Sheet'!I7</f>
        <v>-79858244000</v>
      </c>
      <c r="J20" s="21">
        <f>'Balance Sheet'!I7-'Balance Sheet'!J7</f>
        <v>-20932618560</v>
      </c>
      <c r="K20" s="21">
        <f>'Balance Sheet'!J7-'Balance Sheet'!K7</f>
        <v>-25956447014.399994</v>
      </c>
      <c r="L20" s="21">
        <f>'Balance Sheet'!K7-'Balance Sheet'!L7</f>
        <v>-32185994297.855988</v>
      </c>
    </row>
    <row r="21" spans="2:12" ht="15.6" x14ac:dyDescent="0.3">
      <c r="B21" s="8"/>
      <c r="C21" s="8" t="s">
        <v>40</v>
      </c>
      <c r="D21" s="8"/>
      <c r="E21" s="32">
        <v>4300000000</v>
      </c>
      <c r="F21" s="32">
        <v>5081000000</v>
      </c>
      <c r="G21" s="32">
        <v>323000000</v>
      </c>
      <c r="H21" s="32">
        <v>1077000000</v>
      </c>
      <c r="I21" s="21">
        <f>'Balance Sheet'!I28-'Balance Sheet'!H28</f>
        <v>2704560000</v>
      </c>
      <c r="J21" s="21">
        <f>'Balance Sheet'!J28-'Balance Sheet'!I28</f>
        <v>3353654400</v>
      </c>
      <c r="K21" s="21">
        <f>'Balance Sheet'!K28-'Balance Sheet'!J28</f>
        <v>4158531456</v>
      </c>
      <c r="L21" s="21">
        <f>'Balance Sheet'!L28-'Balance Sheet'!K28</f>
        <v>5156579005.4399986</v>
      </c>
    </row>
    <row r="22" spans="2:12" ht="15.6" x14ac:dyDescent="0.3">
      <c r="B22" s="16"/>
      <c r="C22" s="16"/>
      <c r="D22" s="16"/>
      <c r="E22" s="34"/>
      <c r="F22" s="34"/>
      <c r="G22" s="34"/>
      <c r="H22" s="34"/>
      <c r="I22" s="34"/>
      <c r="J22" s="34"/>
      <c r="K22" s="34"/>
      <c r="L22" s="34"/>
    </row>
    <row r="23" spans="2:12" ht="15.6" x14ac:dyDescent="0.3">
      <c r="B23" s="7" t="s">
        <v>39</v>
      </c>
      <c r="C23" s="8"/>
      <c r="D23" s="8"/>
      <c r="E23" s="35">
        <f>SUM(E6,E8:E13,E16:E21)</f>
        <v>50475000000</v>
      </c>
      <c r="F23" s="35">
        <f>SUM(F6,F8:F13,F16:F21)</f>
        <v>71113000000</v>
      </c>
      <c r="G23" s="35">
        <f t="shared" ref="G23:L23" si="0">SUM(G6,G8:G13,G16:G21)</f>
        <v>91328000000</v>
      </c>
      <c r="H23" s="35">
        <f t="shared" si="0"/>
        <v>115800000000</v>
      </c>
      <c r="I23" s="35">
        <f t="shared" ca="1" si="0"/>
        <v>163850918068.30377</v>
      </c>
      <c r="J23" s="35">
        <f t="shared" ca="1" si="0"/>
        <v>193687454634.68317</v>
      </c>
      <c r="K23" s="35">
        <f t="shared" ca="1" si="0"/>
        <v>234356815567.88965</v>
      </c>
      <c r="L23" s="35">
        <f t="shared" ca="1" si="0"/>
        <v>281913956158.40314</v>
      </c>
    </row>
    <row r="24" spans="2:12" ht="15.6" x14ac:dyDescent="0.3">
      <c r="B24" s="8"/>
      <c r="C24" s="8"/>
      <c r="D24" s="8"/>
      <c r="E24" s="21"/>
      <c r="F24" s="21"/>
      <c r="G24" s="21"/>
      <c r="H24" s="21"/>
      <c r="I24" s="21"/>
      <c r="J24" s="21"/>
      <c r="K24" s="21"/>
      <c r="L24" s="21"/>
    </row>
    <row r="25" spans="2:12" ht="15.6" x14ac:dyDescent="0.3">
      <c r="B25" s="8"/>
      <c r="C25" s="8"/>
      <c r="D25" s="8"/>
      <c r="E25" s="21"/>
      <c r="F25" s="21"/>
      <c r="G25" s="21"/>
      <c r="H25" s="21"/>
      <c r="I25" s="21"/>
      <c r="J25" s="21"/>
      <c r="K25" s="21"/>
      <c r="L25" s="21"/>
    </row>
    <row r="26" spans="2:12" ht="15.6" x14ac:dyDescent="0.3">
      <c r="B26" s="8"/>
      <c r="C26" s="8"/>
      <c r="D26" s="8"/>
      <c r="E26" s="21"/>
      <c r="F26" s="21"/>
      <c r="G26" s="21"/>
      <c r="H26" s="21"/>
      <c r="I26" s="21"/>
      <c r="J26" s="21"/>
      <c r="K26" s="21"/>
      <c r="L26" s="21"/>
    </row>
    <row r="27" spans="2:12" ht="15.6" x14ac:dyDescent="0.3">
      <c r="B27" s="7" t="s">
        <v>41</v>
      </c>
      <c r="C27" s="8"/>
      <c r="D27" s="8"/>
      <c r="E27" s="21"/>
      <c r="F27" s="21"/>
      <c r="G27" s="21"/>
      <c r="H27" s="21"/>
      <c r="I27" s="21"/>
      <c r="J27" s="21"/>
      <c r="K27" s="21"/>
      <c r="L27" s="21"/>
    </row>
    <row r="28" spans="2:12" ht="15.6" x14ac:dyDescent="0.3">
      <c r="B28" s="8"/>
      <c r="C28" s="8" t="s">
        <v>45</v>
      </c>
      <c r="D28" s="8"/>
      <c r="E28" s="32">
        <v>-31186000000</v>
      </c>
      <c r="F28" s="32">
        <v>-27045000000</v>
      </c>
      <c r="G28" s="32">
        <v>-37256000000</v>
      </c>
      <c r="H28" s="32">
        <v>-69691000000</v>
      </c>
      <c r="I28" s="21">
        <f>Assumptions!I13</f>
        <v>-125000000000</v>
      </c>
      <c r="J28" s="21">
        <f>Assumptions!J13</f>
        <v>-110000000000</v>
      </c>
      <c r="K28" s="21">
        <f>Assumptions!K13</f>
        <v>-90000000000</v>
      </c>
      <c r="L28" s="21">
        <f>Assumptions!L13</f>
        <v>-90000000000</v>
      </c>
    </row>
    <row r="29" spans="2:12" ht="15.6" x14ac:dyDescent="0.3">
      <c r="B29" s="8"/>
      <c r="C29" s="8" t="s">
        <v>44</v>
      </c>
      <c r="D29" s="8"/>
      <c r="E29" s="32">
        <v>-1312000000</v>
      </c>
      <c r="F29" s="32">
        <v>-629000000</v>
      </c>
      <c r="G29" s="32">
        <v>-270000000</v>
      </c>
      <c r="H29" s="32">
        <v>-1677000000</v>
      </c>
      <c r="I29" s="21">
        <f>'Income Statement'!I5*Assumptions!I20</f>
        <v>-2491978400</v>
      </c>
      <c r="J29" s="21">
        <f>'Income Statement'!J5*Assumptions!J20</f>
        <v>-3090053216</v>
      </c>
      <c r="K29" s="21">
        <f>'Income Statement'!K5*Assumptions!K20</f>
        <v>-3831665987.8400002</v>
      </c>
      <c r="L29" s="21">
        <f>'Income Statement'!L5*Assumptions!L20</f>
        <v>-4751265824.9215994</v>
      </c>
    </row>
    <row r="30" spans="2:12" ht="15.6" x14ac:dyDescent="0.3">
      <c r="B30" s="8"/>
      <c r="C30" s="8" t="s">
        <v>43</v>
      </c>
      <c r="D30" s="8"/>
      <c r="E30" s="32">
        <v>3532000000</v>
      </c>
      <c r="F30" s="32">
        <v>3201000000</v>
      </c>
      <c r="G30" s="32">
        <v>-9764000000</v>
      </c>
      <c r="H30" s="32">
        <v>-28385000000</v>
      </c>
      <c r="I30" s="21">
        <v>0</v>
      </c>
      <c r="J30" s="21">
        <v>0</v>
      </c>
      <c r="K30" s="21">
        <v>0</v>
      </c>
      <c r="L30" s="21">
        <v>0</v>
      </c>
    </row>
    <row r="31" spans="2:12" ht="15.6" x14ac:dyDescent="0.3">
      <c r="B31" s="8"/>
      <c r="C31" s="8" t="s">
        <v>42</v>
      </c>
      <c r="D31" s="8"/>
      <c r="E31" s="32">
        <v>-4000000</v>
      </c>
      <c r="F31" s="32">
        <v>-22000000</v>
      </c>
      <c r="G31" s="32">
        <v>140000000</v>
      </c>
      <c r="H31" s="32">
        <v>-2250000000</v>
      </c>
      <c r="I31" s="21">
        <v>0</v>
      </c>
      <c r="J31" s="21">
        <v>0</v>
      </c>
      <c r="K31" s="21">
        <v>0</v>
      </c>
      <c r="L31" s="21">
        <v>0</v>
      </c>
    </row>
    <row r="32" spans="2:12" ht="15.6" x14ac:dyDescent="0.3">
      <c r="B32" s="16"/>
      <c r="C32" s="16"/>
      <c r="D32" s="16"/>
      <c r="E32" s="34"/>
      <c r="F32" s="34"/>
      <c r="G32" s="25"/>
      <c r="H32" s="25"/>
      <c r="I32" s="21"/>
      <c r="J32" s="21"/>
      <c r="K32" s="21"/>
      <c r="L32" s="21"/>
    </row>
    <row r="33" spans="2:12" ht="15.6" x14ac:dyDescent="0.3">
      <c r="B33" s="7" t="s">
        <v>46</v>
      </c>
      <c r="C33" s="8"/>
      <c r="D33" s="8"/>
      <c r="E33" s="35">
        <f>SUM(E28:E31)</f>
        <v>-28970000000</v>
      </c>
      <c r="F33" s="35">
        <f t="shared" ref="F33:L33" si="1">SUM(F28:F31)</f>
        <v>-24495000000</v>
      </c>
      <c r="G33" s="23">
        <f t="shared" si="1"/>
        <v>-47150000000</v>
      </c>
      <c r="H33" s="23">
        <f t="shared" si="1"/>
        <v>-102003000000</v>
      </c>
      <c r="I33" s="23">
        <f t="shared" si="1"/>
        <v>-127491978400</v>
      </c>
      <c r="J33" s="23">
        <f t="shared" si="1"/>
        <v>-113090053216</v>
      </c>
      <c r="K33" s="23">
        <f t="shared" si="1"/>
        <v>-93831665987.839996</v>
      </c>
      <c r="L33" s="23">
        <f t="shared" si="1"/>
        <v>-94751265824.9216</v>
      </c>
    </row>
    <row r="34" spans="2:12" ht="15.6" x14ac:dyDescent="0.3">
      <c r="B34" s="8"/>
      <c r="C34" s="8"/>
      <c r="D34" s="8"/>
      <c r="E34" s="21"/>
      <c r="F34" s="21"/>
      <c r="G34" s="21"/>
      <c r="H34" s="21"/>
      <c r="I34" s="21"/>
      <c r="J34" s="21"/>
      <c r="K34" s="21"/>
      <c r="L34" s="21"/>
    </row>
    <row r="35" spans="2:12" ht="15.6" x14ac:dyDescent="0.3">
      <c r="B35" s="8"/>
      <c r="C35" s="8"/>
      <c r="D35" s="8"/>
      <c r="E35" s="21"/>
      <c r="F35" s="21"/>
      <c r="G35" s="21"/>
      <c r="H35" s="21"/>
      <c r="I35" s="21"/>
      <c r="J35" s="21"/>
      <c r="K35" s="21"/>
      <c r="L35" s="21"/>
    </row>
    <row r="36" spans="2:12" ht="15.6" x14ac:dyDescent="0.3">
      <c r="B36" s="8"/>
      <c r="C36" s="8"/>
      <c r="D36" s="8"/>
      <c r="E36" s="21"/>
      <c r="F36" s="21"/>
      <c r="G36" s="21"/>
      <c r="H36" s="21"/>
      <c r="I36" s="21"/>
      <c r="J36" s="21"/>
      <c r="K36" s="21"/>
      <c r="L36" s="21"/>
    </row>
    <row r="37" spans="2:12" ht="15.6" x14ac:dyDescent="0.3">
      <c r="B37" s="7" t="s">
        <v>47</v>
      </c>
      <c r="C37" s="8"/>
      <c r="D37" s="8"/>
      <c r="E37" s="21"/>
      <c r="F37" s="21"/>
      <c r="G37" s="21"/>
      <c r="H37" s="21"/>
      <c r="I37" s="21"/>
      <c r="J37" s="21"/>
      <c r="K37" s="21"/>
      <c r="L37" s="21"/>
    </row>
    <row r="38" spans="2:12" ht="15.6" x14ac:dyDescent="0.3">
      <c r="B38" s="7"/>
      <c r="C38" s="8" t="s">
        <v>107</v>
      </c>
      <c r="D38" s="8"/>
      <c r="E38" s="21">
        <v>-850000000</v>
      </c>
      <c r="F38" s="21">
        <v>-1058000000</v>
      </c>
      <c r="G38" s="21">
        <v>-1969000000</v>
      </c>
      <c r="H38" s="21">
        <v>-2524000000</v>
      </c>
      <c r="I38" s="21">
        <f>H39*Assumptions!I19</f>
        <v>-5981200000</v>
      </c>
      <c r="J38" s="21">
        <f>I39*Assumptions!J19</f>
        <v>-8250000000</v>
      </c>
      <c r="K38" s="21">
        <f>J39*Assumptions!K19</f>
        <v>-7260000000</v>
      </c>
      <c r="L38" s="21">
        <f>K39*Assumptions!L19</f>
        <v>-5940000000</v>
      </c>
    </row>
    <row r="39" spans="2:12" ht="15.6" x14ac:dyDescent="0.3">
      <c r="B39" s="8"/>
      <c r="C39" s="8" t="s">
        <v>108</v>
      </c>
      <c r="D39" s="8"/>
      <c r="E39" s="32">
        <v>9921000000</v>
      </c>
      <c r="F39" s="32">
        <v>8455000000</v>
      </c>
      <c r="G39" s="32">
        <v>10432000000</v>
      </c>
      <c r="H39" s="32">
        <v>29906000000</v>
      </c>
      <c r="I39" s="21">
        <f>Assumptions!I18*'Cash Flow Statement'!I28</f>
        <v>41250000000</v>
      </c>
      <c r="J39" s="21">
        <f>Assumptions!J18*'Cash Flow Statement'!J28</f>
        <v>36300000000</v>
      </c>
      <c r="K39" s="21">
        <f>Assumptions!K18*'Cash Flow Statement'!K28</f>
        <v>29700000000</v>
      </c>
      <c r="L39" s="21">
        <f>Assumptions!L18*'Cash Flow Statement'!L28</f>
        <v>29700000000</v>
      </c>
    </row>
    <row r="40" spans="2:12" ht="15.6" x14ac:dyDescent="0.3">
      <c r="B40" s="8"/>
      <c r="C40" s="8" t="s">
        <v>48</v>
      </c>
      <c r="D40" s="8"/>
      <c r="E40" s="32">
        <v>-27956000000</v>
      </c>
      <c r="F40" s="32">
        <v>-19774000000</v>
      </c>
      <c r="G40" s="32">
        <v>-30125000000</v>
      </c>
      <c r="H40" s="32">
        <v>-26248000000</v>
      </c>
      <c r="I40" s="21">
        <v>0</v>
      </c>
      <c r="J40" s="21">
        <v>0</v>
      </c>
      <c r="K40" s="21">
        <v>0</v>
      </c>
      <c r="L40" s="21">
        <v>0</v>
      </c>
    </row>
    <row r="41" spans="2:12" ht="15.6" x14ac:dyDescent="0.3">
      <c r="B41" s="8"/>
      <c r="C41" s="8" t="s">
        <v>49</v>
      </c>
      <c r="D41" s="8"/>
      <c r="E41" s="32">
        <v>0</v>
      </c>
      <c r="F41" s="32">
        <v>0</v>
      </c>
      <c r="G41" s="32">
        <v>-5072000000</v>
      </c>
      <c r="H41" s="32">
        <v>-5324000000</v>
      </c>
      <c r="I41" s="21">
        <v>0</v>
      </c>
      <c r="J41" s="21">
        <v>0</v>
      </c>
      <c r="K41" s="21">
        <v>0</v>
      </c>
      <c r="L41" s="21">
        <v>0</v>
      </c>
    </row>
    <row r="42" spans="2:12" ht="15.6" x14ac:dyDescent="0.3">
      <c r="B42" s="8"/>
      <c r="C42" s="8" t="s">
        <v>50</v>
      </c>
      <c r="D42" s="8"/>
      <c r="E42" s="32">
        <v>-3251000000</v>
      </c>
      <c r="F42" s="32">
        <v>-7123000000</v>
      </c>
      <c r="G42" s="32">
        <v>-14047000000</v>
      </c>
      <c r="H42" s="32">
        <v>-16180000000</v>
      </c>
      <c r="I42" s="21">
        <v>0</v>
      </c>
      <c r="J42" s="21">
        <v>0</v>
      </c>
      <c r="K42" s="21">
        <v>0</v>
      </c>
      <c r="L42" s="21">
        <v>0</v>
      </c>
    </row>
    <row r="43" spans="2:12" ht="15.6" x14ac:dyDescent="0.3">
      <c r="B43" s="16"/>
      <c r="C43" s="16"/>
      <c r="D43" s="16"/>
      <c r="E43" s="34"/>
      <c r="F43" s="34"/>
      <c r="G43" s="34"/>
      <c r="H43" s="34"/>
      <c r="I43" s="34"/>
      <c r="J43" s="34"/>
      <c r="K43" s="34"/>
      <c r="L43" s="34"/>
    </row>
    <row r="44" spans="2:12" ht="15.6" x14ac:dyDescent="0.3">
      <c r="B44" s="7" t="s">
        <v>51</v>
      </c>
      <c r="C44" s="8"/>
      <c r="D44" s="8"/>
      <c r="E44" s="35">
        <f>SUM(E38:E42)</f>
        <v>-22136000000</v>
      </c>
      <c r="F44" s="35">
        <f t="shared" ref="F44:L44" si="2">SUM(F38:F42)</f>
        <v>-19500000000</v>
      </c>
      <c r="G44" s="35">
        <f t="shared" si="2"/>
        <v>-40781000000</v>
      </c>
      <c r="H44" s="35">
        <f t="shared" si="2"/>
        <v>-20370000000</v>
      </c>
      <c r="I44" s="35">
        <f t="shared" si="2"/>
        <v>35268800000</v>
      </c>
      <c r="J44" s="35">
        <f t="shared" si="2"/>
        <v>28050000000</v>
      </c>
      <c r="K44" s="35">
        <f t="shared" si="2"/>
        <v>22440000000</v>
      </c>
      <c r="L44" s="35">
        <f t="shared" si="2"/>
        <v>23760000000</v>
      </c>
    </row>
    <row r="45" spans="2:12" ht="15.6" x14ac:dyDescent="0.3">
      <c r="B45" s="8"/>
      <c r="C45" s="8"/>
      <c r="D45" s="8"/>
      <c r="E45" s="21"/>
      <c r="F45" s="21"/>
      <c r="G45" s="21"/>
      <c r="H45" s="21"/>
      <c r="I45" s="21"/>
      <c r="J45" s="21"/>
      <c r="K45" s="21"/>
      <c r="L45" s="21"/>
    </row>
    <row r="46" spans="2:12" ht="15.6" x14ac:dyDescent="0.3">
      <c r="B46" s="7" t="s">
        <v>52</v>
      </c>
      <c r="C46" s="8"/>
      <c r="D46" s="8"/>
      <c r="E46" s="21">
        <v>16865000000</v>
      </c>
      <c r="F46" s="21">
        <v>15596000000</v>
      </c>
      <c r="G46" s="21">
        <v>42827000000</v>
      </c>
      <c r="H46" s="21">
        <v>45438000000</v>
      </c>
      <c r="I46" s="21">
        <f>H49</f>
        <v>39100000000</v>
      </c>
      <c r="J46" s="21">
        <f t="shared" ref="J46:L46" ca="1" si="3">I49</f>
        <v>110727739668.30377</v>
      </c>
      <c r="K46" s="21">
        <f t="shared" ca="1" si="3"/>
        <v>219375141086.98694</v>
      </c>
      <c r="L46" s="21">
        <f t="shared" ca="1" si="3"/>
        <v>382340290667.03662</v>
      </c>
    </row>
    <row r="47" spans="2:12" ht="15.6" x14ac:dyDescent="0.3">
      <c r="B47" s="8"/>
      <c r="C47" s="8" t="s">
        <v>53</v>
      </c>
      <c r="D47" s="8"/>
      <c r="E47" s="32">
        <f>SUM(E44,E33,E23)</f>
        <v>-631000000</v>
      </c>
      <c r="F47" s="32">
        <f>SUM(F44,F33,F23)</f>
        <v>27118000000</v>
      </c>
      <c r="G47" s="32">
        <f t="shared" ref="G47:L47" si="4">SUM(G44,G33,G23)</f>
        <v>3397000000</v>
      </c>
      <c r="H47" s="32">
        <f t="shared" si="4"/>
        <v>-6573000000</v>
      </c>
      <c r="I47" s="36">
        <f t="shared" ca="1" si="4"/>
        <v>71627739668.303772</v>
      </c>
      <c r="J47" s="36">
        <f t="shared" ca="1" si="4"/>
        <v>108647401418.68317</v>
      </c>
      <c r="K47" s="36">
        <f t="shared" ca="1" si="4"/>
        <v>162965149580.04965</v>
      </c>
      <c r="L47" s="36">
        <f t="shared" ca="1" si="4"/>
        <v>210922690333.48154</v>
      </c>
    </row>
    <row r="48" spans="2:12" ht="15.6" x14ac:dyDescent="0.3">
      <c r="B48" s="16"/>
      <c r="C48" s="16" t="s">
        <v>54</v>
      </c>
      <c r="D48" s="16"/>
      <c r="E48" s="37">
        <v>-638000000</v>
      </c>
      <c r="F48" s="37">
        <v>113000000</v>
      </c>
      <c r="G48" s="37">
        <v>-786000000</v>
      </c>
      <c r="H48" s="37">
        <v>235000000</v>
      </c>
      <c r="I48" s="34">
        <v>0</v>
      </c>
      <c r="J48" s="34">
        <v>0</v>
      </c>
      <c r="K48" s="34">
        <v>0</v>
      </c>
      <c r="L48" s="34">
        <v>0</v>
      </c>
    </row>
    <row r="49" spans="2:12" ht="15.6" x14ac:dyDescent="0.3">
      <c r="B49" s="13" t="s">
        <v>55</v>
      </c>
      <c r="C49" s="14"/>
      <c r="D49" s="14"/>
      <c r="E49" s="24">
        <f>SUM(E46:E48)</f>
        <v>15596000000</v>
      </c>
      <c r="F49" s="24">
        <f t="shared" ref="F49:L49" si="5">SUM(F46:F48)</f>
        <v>42827000000</v>
      </c>
      <c r="G49" s="24">
        <f t="shared" si="5"/>
        <v>45438000000</v>
      </c>
      <c r="H49" s="24">
        <f t="shared" si="5"/>
        <v>39100000000</v>
      </c>
      <c r="I49" s="24">
        <f t="shared" ca="1" si="5"/>
        <v>110727739668.30377</v>
      </c>
      <c r="J49" s="24">
        <f t="shared" ca="1" si="5"/>
        <v>219375141086.98694</v>
      </c>
      <c r="K49" s="24">
        <f t="shared" ca="1" si="5"/>
        <v>382340290667.03662</v>
      </c>
      <c r="L49" s="24">
        <f t="shared" ca="1" si="5"/>
        <v>593262981000.51819</v>
      </c>
    </row>
    <row r="51" spans="2:12" ht="15.6" x14ac:dyDescent="0.3">
      <c r="E51" s="17"/>
      <c r="F51" s="5"/>
      <c r="G51" s="5"/>
      <c r="H51" s="5"/>
    </row>
    <row r="52" spans="2:12" x14ac:dyDescent="0.3">
      <c r="E52" s="18"/>
    </row>
    <row r="53" spans="2:12" x14ac:dyDescent="0.3">
      <c r="E53" s="5"/>
    </row>
  </sheetData>
  <mergeCells count="4">
    <mergeCell ref="E1:H1"/>
    <mergeCell ref="I1:L1"/>
    <mergeCell ref="A2:D2"/>
    <mergeCell ref="B1:D1"/>
  </mergeCells>
  <hyperlinks>
    <hyperlink ref="B1:D1" location="Readme!A1" display="&lt;&lt; Back to home" xr:uid="{FD269528-A4F0-4818-A0E5-8838BCF4C0F6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B9BA8-68B1-4407-89DD-E5D0939DEBC7}">
  <dimension ref="A1:L46"/>
  <sheetViews>
    <sheetView showGridLines="0" zoomScale="90" zoomScaleNormal="90" workbookViewId="0">
      <pane ySplit="3" topLeftCell="A13" activePane="bottomLeft" state="frozen"/>
      <selection activeCell="G24" sqref="G24"/>
      <selection pane="bottomLeft" activeCell="B1" sqref="B1:D1"/>
    </sheetView>
  </sheetViews>
  <sheetFormatPr defaultRowHeight="14.4" x14ac:dyDescent="0.3"/>
  <cols>
    <col min="1" max="1" width="2.109375" customWidth="1"/>
    <col min="2" max="2" width="4.21875" customWidth="1"/>
    <col min="3" max="4" width="22" customWidth="1"/>
    <col min="5" max="12" width="20.109375" customWidth="1"/>
  </cols>
  <sheetData>
    <row r="1" spans="1:12" ht="21" customHeight="1" x14ac:dyDescent="0.4">
      <c r="A1" s="87"/>
      <c r="B1" s="119" t="s">
        <v>236</v>
      </c>
      <c r="C1" s="119"/>
      <c r="D1" s="119"/>
      <c r="E1" s="116" t="s">
        <v>1</v>
      </c>
      <c r="F1" s="116"/>
      <c r="G1" s="116"/>
      <c r="H1" s="116"/>
      <c r="I1" s="117" t="s">
        <v>2</v>
      </c>
      <c r="J1" s="117"/>
      <c r="K1" s="117"/>
      <c r="L1" s="117"/>
    </row>
    <row r="2" spans="1:12" ht="37.200000000000003" customHeight="1" x14ac:dyDescent="0.4">
      <c r="A2" s="118" t="s">
        <v>238</v>
      </c>
      <c r="B2" s="118"/>
      <c r="C2" s="118"/>
      <c r="D2" s="118"/>
      <c r="E2" s="4">
        <v>2022</v>
      </c>
      <c r="F2" s="4">
        <v>2023</v>
      </c>
      <c r="G2" s="4">
        <v>2024</v>
      </c>
      <c r="H2" s="4">
        <v>2025</v>
      </c>
      <c r="I2" s="3">
        <v>2026</v>
      </c>
      <c r="J2" s="3">
        <v>2027</v>
      </c>
      <c r="K2" s="3">
        <v>2028</v>
      </c>
      <c r="L2" s="3">
        <v>2029</v>
      </c>
    </row>
    <row r="3" spans="1:12" ht="18" x14ac:dyDescent="0.35">
      <c r="B3" s="58" t="s">
        <v>89</v>
      </c>
      <c r="C3" s="59"/>
      <c r="D3" s="59"/>
      <c r="E3" s="60" t="str">
        <f t="shared" ref="E3:L3" si="0">IF(E19=E46,"Okay", "Not Okay")</f>
        <v>Okay</v>
      </c>
      <c r="F3" s="60" t="str">
        <f t="shared" si="0"/>
        <v>Okay</v>
      </c>
      <c r="G3" s="60" t="str">
        <f t="shared" si="0"/>
        <v>Okay</v>
      </c>
      <c r="H3" s="60" t="str">
        <f t="shared" si="0"/>
        <v>Okay</v>
      </c>
      <c r="I3" s="60" t="str">
        <f t="shared" ca="1" si="0"/>
        <v>Okay</v>
      </c>
      <c r="J3" s="60" t="str">
        <f t="shared" ca="1" si="0"/>
        <v>Okay</v>
      </c>
      <c r="K3" s="60" t="str">
        <f t="shared" ca="1" si="0"/>
        <v>Okay</v>
      </c>
      <c r="L3" s="60" t="str">
        <f t="shared" ca="1" si="0"/>
        <v>Okay</v>
      </c>
    </row>
    <row r="4" spans="1:12" ht="15.6" x14ac:dyDescent="0.3"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pans="1:12" ht="15.6" x14ac:dyDescent="0.3">
      <c r="B5" s="7" t="s">
        <v>56</v>
      </c>
      <c r="C5" s="8"/>
      <c r="D5" s="8"/>
      <c r="E5" s="8"/>
      <c r="F5" s="8"/>
      <c r="G5" s="8"/>
      <c r="H5" s="8"/>
      <c r="I5" s="8"/>
      <c r="J5" s="8"/>
      <c r="K5" s="8"/>
      <c r="L5" s="8"/>
    </row>
    <row r="6" spans="1:12" ht="15.6" x14ac:dyDescent="0.3">
      <c r="B6" s="8"/>
      <c r="C6" s="8" t="s">
        <v>57</v>
      </c>
      <c r="D6" s="8"/>
      <c r="E6" s="8"/>
      <c r="F6" s="8"/>
      <c r="G6" s="8"/>
      <c r="H6" s="8"/>
      <c r="I6" s="8"/>
      <c r="J6" s="8"/>
      <c r="K6" s="8"/>
      <c r="L6" s="8"/>
    </row>
    <row r="7" spans="1:12" ht="15.6" x14ac:dyDescent="0.3">
      <c r="B7" s="8"/>
      <c r="C7" s="8" t="s">
        <v>58</v>
      </c>
      <c r="D7" s="8"/>
      <c r="E7" s="32">
        <v>5345000000</v>
      </c>
      <c r="F7" s="32">
        <v>3793000000</v>
      </c>
      <c r="G7" s="32">
        <v>5236000000</v>
      </c>
      <c r="H7" s="32">
        <v>7361000000</v>
      </c>
      <c r="I7" s="21">
        <f>'Income Statement'!I5*Assumptions!I25</f>
        <v>87219244000</v>
      </c>
      <c r="J7" s="21">
        <f>'Income Statement'!J5*Assumptions!J25</f>
        <v>108151862560</v>
      </c>
      <c r="K7" s="21">
        <f>'Income Statement'!K5*Assumptions!K25</f>
        <v>134108309574.39999</v>
      </c>
      <c r="L7" s="21">
        <f>'Income Statement'!L5*Assumptions!L25</f>
        <v>166294303872.25598</v>
      </c>
    </row>
    <row r="8" spans="1:12" ht="15.6" x14ac:dyDescent="0.3">
      <c r="B8" s="8"/>
      <c r="C8" s="8" t="s">
        <v>59</v>
      </c>
      <c r="D8" s="8"/>
      <c r="E8" s="32">
        <v>13466000000</v>
      </c>
      <c r="F8" s="32">
        <v>16169000000</v>
      </c>
      <c r="G8" s="32">
        <v>16994000000</v>
      </c>
      <c r="H8" s="32">
        <v>19769000000</v>
      </c>
      <c r="I8" s="21">
        <f>'Income Statement'!I5*(Assumptions!I11/365)</f>
        <v>27309352328.76712</v>
      </c>
      <c r="J8" s="21">
        <f>'Income Statement'!J5*(Assumptions!J11/365)</f>
        <v>33863596887.67123</v>
      </c>
      <c r="K8" s="21">
        <f>'Income Statement'!K5*(Assumptions!K11/365)</f>
        <v>41990860140.712326</v>
      </c>
      <c r="L8" s="21">
        <f>'Income Statement'!L5*(Assumptions!L11/365)</f>
        <v>52068666574.483284</v>
      </c>
    </row>
    <row r="9" spans="1:12" ht="15.6" x14ac:dyDescent="0.3">
      <c r="B9" s="8"/>
      <c r="C9" s="8" t="s">
        <v>60</v>
      </c>
      <c r="D9" s="8"/>
      <c r="E9" s="32">
        <v>26057000000</v>
      </c>
      <c r="F9" s="32">
        <v>23541000000</v>
      </c>
      <c r="G9" s="32">
        <v>33926000000</v>
      </c>
      <c r="H9" s="32">
        <v>45719000000</v>
      </c>
      <c r="I9" s="21">
        <v>45719000000</v>
      </c>
      <c r="J9" s="21">
        <v>45719000000</v>
      </c>
      <c r="K9" s="21">
        <v>45719000000</v>
      </c>
      <c r="L9" s="21">
        <v>45719000000</v>
      </c>
    </row>
    <row r="10" spans="1:12" ht="15.6" x14ac:dyDescent="0.3">
      <c r="B10" s="8"/>
      <c r="C10" s="8" t="s">
        <v>61</v>
      </c>
      <c r="D10" s="8"/>
      <c r="E10" s="32">
        <v>8505000000</v>
      </c>
      <c r="F10" s="32">
        <v>35597000000</v>
      </c>
      <c r="G10" s="32">
        <v>36671000000</v>
      </c>
      <c r="H10" s="32">
        <v>31482000000</v>
      </c>
      <c r="I10" s="21">
        <f ca="1">I46-SUM(I7:I9,I11,I14:I17)</f>
        <v>100574181097.75293</v>
      </c>
      <c r="J10" s="21">
        <f t="shared" ref="J10:L10" ca="1" si="1">J46-SUM(J7:J9,J11,J14:J17)</f>
        <v>187242116606.60364</v>
      </c>
      <c r="K10" s="21">
        <f t="shared" ca="1" si="1"/>
        <v>327986516397.34412</v>
      </c>
      <c r="L10" s="21">
        <f t="shared" ca="1" si="1"/>
        <v>521124337421.45654</v>
      </c>
    </row>
    <row r="11" spans="1:12" ht="15.6" x14ac:dyDescent="0.3">
      <c r="B11" s="8"/>
      <c r="C11" s="8" t="s">
        <v>62</v>
      </c>
      <c r="D11" s="8"/>
      <c r="E11" s="32">
        <v>6176000000</v>
      </c>
      <c r="F11" s="32">
        <v>6265000000</v>
      </c>
      <c r="G11" s="32">
        <v>7218000000</v>
      </c>
      <c r="H11" s="32">
        <v>4391000000</v>
      </c>
      <c r="I11" s="21">
        <v>0</v>
      </c>
      <c r="J11" s="21">
        <v>0</v>
      </c>
      <c r="K11" s="21">
        <v>0</v>
      </c>
      <c r="L11" s="21">
        <v>0</v>
      </c>
    </row>
    <row r="12" spans="1:12" ht="15.6" x14ac:dyDescent="0.3">
      <c r="B12" s="8"/>
      <c r="C12" s="8"/>
      <c r="D12" s="8"/>
      <c r="E12" s="21"/>
      <c r="F12" s="21"/>
      <c r="G12" s="21"/>
      <c r="H12" s="21"/>
      <c r="I12" s="21"/>
      <c r="J12" s="21"/>
      <c r="K12" s="21"/>
      <c r="L12" s="21"/>
    </row>
    <row r="13" spans="1:12" ht="15.6" x14ac:dyDescent="0.3">
      <c r="B13" s="8"/>
      <c r="C13" s="8" t="s">
        <v>63</v>
      </c>
      <c r="D13" s="8"/>
      <c r="E13" s="21"/>
      <c r="F13" s="21"/>
      <c r="G13" s="21"/>
      <c r="H13" s="21"/>
      <c r="I13" s="21"/>
      <c r="J13" s="21"/>
      <c r="K13" s="21"/>
      <c r="L13" s="21"/>
    </row>
    <row r="14" spans="1:12" ht="15.6" x14ac:dyDescent="0.3">
      <c r="B14" s="8"/>
      <c r="C14" s="8" t="s">
        <v>67</v>
      </c>
      <c r="D14" s="8"/>
      <c r="E14" s="32">
        <v>92191000000</v>
      </c>
      <c r="F14" s="32">
        <v>109881000000</v>
      </c>
      <c r="G14" s="32">
        <v>136268000000</v>
      </c>
      <c r="H14" s="32">
        <v>196804000000</v>
      </c>
      <c r="I14" s="21">
        <f>H14-Assumptions!I13-('Balance Sheet'!H14*Assumptions!I8)</f>
        <v>302123600000</v>
      </c>
      <c r="J14" s="21">
        <f>I14-Assumptions!J13-('Balance Sheet'!I14*Assumptions!J8)</f>
        <v>381911240000</v>
      </c>
      <c r="K14" s="21">
        <f>J14-Assumptions!K13-('Balance Sheet'!J14*Assumptions!K8)</f>
        <v>433720116000</v>
      </c>
      <c r="L14" s="21">
        <f>K14-Assumptions!L13-('Balance Sheet'!K14*Assumptions!L8)</f>
        <v>480348104400</v>
      </c>
    </row>
    <row r="15" spans="1:12" ht="15.6" x14ac:dyDescent="0.3">
      <c r="B15" s="8"/>
      <c r="C15" s="8" t="s">
        <v>66</v>
      </c>
      <c r="D15" s="8"/>
      <c r="E15" s="32">
        <v>21203000000</v>
      </c>
      <c r="F15" s="32">
        <v>21442000000</v>
      </c>
      <c r="G15" s="32">
        <v>21569000000</v>
      </c>
      <c r="H15" s="32">
        <v>28226000000</v>
      </c>
      <c r="I15" s="21">
        <v>28226000000</v>
      </c>
      <c r="J15" s="21">
        <v>28226000000</v>
      </c>
      <c r="K15" s="21">
        <v>28226000000</v>
      </c>
      <c r="L15" s="21">
        <v>28226000000</v>
      </c>
    </row>
    <row r="16" spans="1:12" ht="15.6" x14ac:dyDescent="0.3">
      <c r="B16" s="8"/>
      <c r="C16" s="8" t="s">
        <v>65</v>
      </c>
      <c r="D16" s="8"/>
      <c r="E16" s="32">
        <v>6201000000</v>
      </c>
      <c r="F16" s="32">
        <v>6141000000</v>
      </c>
      <c r="G16" s="32">
        <v>6070000000</v>
      </c>
      <c r="H16" s="32">
        <v>27524000000</v>
      </c>
      <c r="I16" s="21">
        <v>27524000000</v>
      </c>
      <c r="J16" s="21">
        <v>27524000000</v>
      </c>
      <c r="K16" s="21">
        <v>27524000000</v>
      </c>
      <c r="L16" s="21">
        <v>27524000000</v>
      </c>
    </row>
    <row r="17" spans="2:12" ht="15.6" x14ac:dyDescent="0.3">
      <c r="B17" s="8"/>
      <c r="C17" s="8" t="s">
        <v>64</v>
      </c>
      <c r="D17" s="8"/>
      <c r="E17" s="32">
        <v>6583000000</v>
      </c>
      <c r="F17" s="32">
        <v>6794000000</v>
      </c>
      <c r="G17" s="32">
        <v>12102000000</v>
      </c>
      <c r="H17" s="32">
        <v>4745000000</v>
      </c>
      <c r="I17" s="21">
        <v>4745000000</v>
      </c>
      <c r="J17" s="21">
        <v>4745000000</v>
      </c>
      <c r="K17" s="21">
        <v>4745000000</v>
      </c>
      <c r="L17" s="21">
        <v>4745000000</v>
      </c>
    </row>
    <row r="18" spans="2:12" ht="15.6" x14ac:dyDescent="0.3">
      <c r="B18" s="16"/>
      <c r="C18" s="16"/>
      <c r="D18" s="16"/>
      <c r="E18" s="34"/>
      <c r="F18" s="34"/>
      <c r="G18" s="34"/>
      <c r="H18" s="34"/>
      <c r="I18" s="34"/>
      <c r="J18" s="34"/>
      <c r="K18" s="34"/>
      <c r="L18" s="34"/>
    </row>
    <row r="19" spans="2:12" s="1" customFormat="1" ht="15.6" x14ac:dyDescent="0.3">
      <c r="B19" s="13" t="s">
        <v>68</v>
      </c>
      <c r="C19" s="13"/>
      <c r="D19" s="13"/>
      <c r="E19" s="24">
        <f>SUM(E14:E17,E7:E11)</f>
        <v>185727000000</v>
      </c>
      <c r="F19" s="24">
        <f t="shared" ref="F19:L19" si="2">SUM(F14:F17,F7:F11)</f>
        <v>229623000000</v>
      </c>
      <c r="G19" s="24">
        <f t="shared" si="2"/>
        <v>276054000000</v>
      </c>
      <c r="H19" s="24">
        <f t="shared" si="2"/>
        <v>366021000000</v>
      </c>
      <c r="I19" s="24">
        <f t="shared" ca="1" si="2"/>
        <v>623440377426.52002</v>
      </c>
      <c r="J19" s="24">
        <f t="shared" ca="1" si="2"/>
        <v>817382816054.2749</v>
      </c>
      <c r="K19" s="24">
        <f t="shared" ca="1" si="2"/>
        <v>1044019802112.4564</v>
      </c>
      <c r="L19" s="24">
        <f t="shared" ca="1" si="2"/>
        <v>1326049412268.1958</v>
      </c>
    </row>
    <row r="20" spans="2:12" ht="15.6" x14ac:dyDescent="0.3">
      <c r="B20" s="8"/>
      <c r="C20" s="8"/>
      <c r="D20" s="8"/>
      <c r="E20" s="21"/>
      <c r="F20" s="21"/>
      <c r="G20" s="21"/>
      <c r="H20" s="21"/>
      <c r="I20" s="21"/>
      <c r="J20" s="21"/>
      <c r="K20" s="21"/>
      <c r="L20" s="21"/>
    </row>
    <row r="21" spans="2:12" ht="15.6" x14ac:dyDescent="0.3">
      <c r="B21" s="8"/>
      <c r="C21" s="8"/>
      <c r="D21" s="8"/>
      <c r="E21" s="21"/>
      <c r="F21" s="21"/>
      <c r="G21" s="21"/>
      <c r="H21" s="21"/>
      <c r="I21" s="21"/>
      <c r="J21" s="21"/>
      <c r="K21" s="21"/>
      <c r="L21" s="21"/>
    </row>
    <row r="22" spans="2:12" ht="15.6" x14ac:dyDescent="0.3">
      <c r="B22" s="7" t="s">
        <v>80</v>
      </c>
      <c r="C22" s="8"/>
      <c r="D22" s="8"/>
      <c r="E22" s="21"/>
      <c r="F22" s="21"/>
      <c r="G22" s="21"/>
      <c r="H22" s="21"/>
      <c r="I22" s="21"/>
      <c r="J22" s="21"/>
      <c r="K22" s="21"/>
      <c r="L22" s="21"/>
    </row>
    <row r="23" spans="2:12" ht="15.6" x14ac:dyDescent="0.3">
      <c r="B23" s="7" t="s">
        <v>86</v>
      </c>
      <c r="C23" s="8"/>
      <c r="D23" s="8"/>
      <c r="E23" s="21"/>
      <c r="F23" s="21"/>
      <c r="G23" s="21"/>
      <c r="H23" s="21"/>
      <c r="I23" s="21"/>
      <c r="J23" s="21"/>
      <c r="K23" s="21"/>
      <c r="L23" s="21"/>
    </row>
    <row r="24" spans="2:12" ht="15.6" x14ac:dyDescent="0.3">
      <c r="B24" s="8"/>
      <c r="C24" s="8" t="s">
        <v>69</v>
      </c>
      <c r="D24" s="8"/>
      <c r="E24" s="21"/>
      <c r="F24" s="21"/>
      <c r="G24" s="21"/>
      <c r="H24" s="21"/>
      <c r="I24" s="21"/>
      <c r="J24" s="21"/>
      <c r="K24" s="21"/>
      <c r="L24" s="21"/>
    </row>
    <row r="25" spans="2:12" ht="15.6" x14ac:dyDescent="0.3">
      <c r="B25" s="8"/>
      <c r="C25" s="8" t="s">
        <v>74</v>
      </c>
      <c r="D25" s="8"/>
      <c r="E25" s="32">
        <v>4990000000</v>
      </c>
      <c r="F25" s="32">
        <v>4849000000</v>
      </c>
      <c r="G25" s="32">
        <v>7687000000</v>
      </c>
      <c r="H25" s="32">
        <v>8894000000</v>
      </c>
      <c r="I25" s="21">
        <f>'Income Statement'!I6*(Assumptions!I12/365)</f>
        <v>10923740931.506849</v>
      </c>
      <c r="J25" s="21">
        <f>'Income Statement'!J6*(Assumptions!J12/365)</f>
        <v>13545438755.068493</v>
      </c>
      <c r="K25" s="21">
        <f>'Income Statement'!K6*(Assumptions!K12/365)</f>
        <v>16796344056.284931</v>
      </c>
      <c r="L25" s="21">
        <f>'Income Statement'!L6*(Assumptions!L12/365)</f>
        <v>20827466629.793316</v>
      </c>
    </row>
    <row r="26" spans="2:12" ht="15.6" x14ac:dyDescent="0.3">
      <c r="B26" s="8"/>
      <c r="C26" s="8" t="s">
        <v>73</v>
      </c>
      <c r="D26" s="8"/>
      <c r="E26" s="32">
        <v>2339000000</v>
      </c>
      <c r="F26" s="32">
        <v>3655000000</v>
      </c>
      <c r="G26" s="32">
        <v>3438000000</v>
      </c>
      <c r="H26" s="32">
        <v>1922000000</v>
      </c>
      <c r="I26" s="21">
        <f ca="1">'Income Statement'!I19*Assumptions!I24</f>
        <v>6114047677.4490347</v>
      </c>
      <c r="J26" s="21">
        <f ca="1">'Income Statement'!J19*Assumptions!J24</f>
        <v>7649475115.1367159</v>
      </c>
      <c r="K26" s="21">
        <f ca="1">'Income Statement'!K19*Assumptions!K24</f>
        <v>9597329668.7523327</v>
      </c>
      <c r="L26" s="21">
        <f ca="1">'Income Statement'!L19*Assumptions!L24</f>
        <v>12037240805.410042</v>
      </c>
    </row>
    <row r="27" spans="2:12" ht="15.6" x14ac:dyDescent="0.3">
      <c r="B27" s="8"/>
      <c r="C27" s="8" t="s">
        <v>76</v>
      </c>
      <c r="D27" s="8"/>
      <c r="E27" s="32">
        <v>4591000000</v>
      </c>
      <c r="F27" s="32">
        <v>6659000000</v>
      </c>
      <c r="G27" s="32">
        <v>6350000000</v>
      </c>
      <c r="H27" s="32">
        <v>7151000000</v>
      </c>
      <c r="I27" s="21">
        <v>7151000000</v>
      </c>
      <c r="J27" s="21">
        <v>7151000000</v>
      </c>
      <c r="K27" s="21">
        <v>7151000000</v>
      </c>
      <c r="L27" s="21">
        <v>7151000000</v>
      </c>
    </row>
    <row r="28" spans="2:12" ht="15.6" x14ac:dyDescent="0.3">
      <c r="B28" s="8"/>
      <c r="C28" s="8" t="s">
        <v>72</v>
      </c>
      <c r="D28" s="8"/>
      <c r="E28" s="32">
        <v>7716000000</v>
      </c>
      <c r="F28" s="32">
        <v>8805000000</v>
      </c>
      <c r="G28" s="32">
        <v>8105000000</v>
      </c>
      <c r="H28" s="32">
        <v>11269000000</v>
      </c>
      <c r="I28" s="21">
        <f>H28*(1+Assumptions!I6)</f>
        <v>13973560000</v>
      </c>
      <c r="J28" s="21">
        <f>I28*(1+Assumptions!J6)</f>
        <v>17327214400</v>
      </c>
      <c r="K28" s="21">
        <f>J28*(1+Assumptions!K6)</f>
        <v>21485745856</v>
      </c>
      <c r="L28" s="21">
        <f>K28*(1+Assumptions!L6)</f>
        <v>26642324861.439999</v>
      </c>
    </row>
    <row r="29" spans="2:12" ht="15.6" x14ac:dyDescent="0.3">
      <c r="B29" s="8"/>
      <c r="C29" s="8" t="s">
        <v>75</v>
      </c>
      <c r="D29" s="8"/>
      <c r="E29" s="32">
        <v>1117000000</v>
      </c>
      <c r="F29" s="32">
        <v>0</v>
      </c>
      <c r="G29" s="32">
        <v>0</v>
      </c>
      <c r="H29" s="32">
        <v>0</v>
      </c>
      <c r="I29" s="21">
        <v>0</v>
      </c>
      <c r="J29" s="21">
        <v>0</v>
      </c>
      <c r="K29" s="21">
        <v>0</v>
      </c>
      <c r="L29" s="21">
        <v>0</v>
      </c>
    </row>
    <row r="30" spans="2:12" ht="15.6" x14ac:dyDescent="0.3">
      <c r="B30" s="8"/>
      <c r="C30" s="8" t="s">
        <v>71</v>
      </c>
      <c r="D30" s="8"/>
      <c r="E30" s="32">
        <v>1367000000</v>
      </c>
      <c r="F30" s="32">
        <v>1623000000</v>
      </c>
      <c r="G30" s="32">
        <v>1942000000</v>
      </c>
      <c r="H30" s="32">
        <v>2213000000</v>
      </c>
      <c r="I30" s="21">
        <f>H36*Assumptions!I22</f>
        <v>2752800000</v>
      </c>
      <c r="J30" s="21">
        <f>I36*Assumptions!J22</f>
        <v>2990374080</v>
      </c>
      <c r="K30" s="21">
        <f>J36*Assumptions!K22</f>
        <v>3708063859.1999998</v>
      </c>
      <c r="L30" s="21">
        <f>K36*Assumptions!L22</f>
        <v>4597999185.408</v>
      </c>
    </row>
    <row r="31" spans="2:12" ht="15.6" x14ac:dyDescent="0.3">
      <c r="B31" s="8"/>
      <c r="C31" s="8" t="s">
        <v>70</v>
      </c>
      <c r="D31" s="8"/>
      <c r="E31" s="32">
        <v>4906000000</v>
      </c>
      <c r="F31" s="32">
        <v>6369000000</v>
      </c>
      <c r="G31" s="32">
        <v>6074000000</v>
      </c>
      <c r="H31" s="32">
        <v>10387000000</v>
      </c>
      <c r="I31" s="21">
        <f>'Income Statement'!I5*Assumptions!I26</f>
        <v>112139028000</v>
      </c>
      <c r="J31" s="21">
        <f>'Income Statement'!J5*Assumptions!J26</f>
        <v>139052394720</v>
      </c>
      <c r="K31" s="21">
        <f>'Income Statement'!K5*Assumptions!K26</f>
        <v>172424969452.80002</v>
      </c>
      <c r="L31" s="21">
        <f>'Income Statement'!L5*Assumptions!L26</f>
        <v>213806962121.47198</v>
      </c>
    </row>
    <row r="32" spans="2:12" ht="15.6" x14ac:dyDescent="0.3">
      <c r="B32" s="8"/>
      <c r="C32" s="8"/>
      <c r="D32" s="8"/>
      <c r="E32" s="21"/>
      <c r="F32" s="21"/>
      <c r="G32" s="21"/>
      <c r="H32" s="21"/>
      <c r="I32" s="21"/>
      <c r="J32" s="21"/>
      <c r="K32" s="21"/>
      <c r="L32" s="21"/>
    </row>
    <row r="33" spans="2:12" ht="15.6" x14ac:dyDescent="0.3">
      <c r="B33" s="8"/>
      <c r="C33" s="8" t="s">
        <v>79</v>
      </c>
      <c r="D33" s="8"/>
      <c r="E33" s="21"/>
      <c r="F33" s="21"/>
      <c r="G33" s="21"/>
      <c r="H33" s="21"/>
      <c r="I33" s="21"/>
      <c r="J33" s="21"/>
      <c r="K33" s="21"/>
      <c r="L33" s="21"/>
    </row>
    <row r="34" spans="2:12" ht="15.6" x14ac:dyDescent="0.3">
      <c r="B34" s="8"/>
      <c r="C34" s="8" t="s">
        <v>77</v>
      </c>
      <c r="D34" s="8"/>
      <c r="E34" s="32">
        <v>1119000000</v>
      </c>
      <c r="F34" s="32">
        <v>1370000000</v>
      </c>
      <c r="G34" s="32">
        <v>2716000000</v>
      </c>
      <c r="H34" s="32">
        <v>4253000000</v>
      </c>
      <c r="I34" s="21">
        <f>H34*(1+Assumptions!I6)</f>
        <v>5273720000</v>
      </c>
      <c r="J34" s="21">
        <f>I34*(1+Assumptions!J6)</f>
        <v>6539412800</v>
      </c>
      <c r="K34" s="21">
        <f>J34*(1+Assumptions!K6)</f>
        <v>8108871872</v>
      </c>
      <c r="L34" s="21">
        <f>K34*(1+Assumptions!L6)</f>
        <v>10055001121.280001</v>
      </c>
    </row>
    <row r="35" spans="2:12" ht="15.6" x14ac:dyDescent="0.3">
      <c r="B35" s="8"/>
      <c r="C35" s="8" t="s">
        <v>99</v>
      </c>
      <c r="D35" s="8"/>
      <c r="E35" s="32">
        <v>6645000000</v>
      </c>
      <c r="F35" s="32">
        <v>7514000000</v>
      </c>
      <c r="G35" s="32">
        <v>9987000000</v>
      </c>
      <c r="H35" s="32">
        <v>21005000000</v>
      </c>
      <c r="I35" s="21">
        <f>Assumptions!I23*'Cash Flow Statement'!I28</f>
        <v>32500000000</v>
      </c>
      <c r="J35" s="21">
        <f>Assumptions!J23*'Cash Flow Statement'!J28</f>
        <v>28600000000</v>
      </c>
      <c r="K35" s="21">
        <f>Assumptions!K23*'Cash Flow Statement'!K28</f>
        <v>23400000000</v>
      </c>
      <c r="L35" s="21">
        <f>Assumptions!L23*'Cash Flow Statement'!L28</f>
        <v>23400000000</v>
      </c>
    </row>
    <row r="36" spans="2:12" ht="15.6" x14ac:dyDescent="0.3">
      <c r="B36" s="8"/>
      <c r="C36" s="8" t="s">
        <v>78</v>
      </c>
      <c r="D36" s="8"/>
      <c r="E36" s="32">
        <v>15301000000</v>
      </c>
      <c r="F36" s="32">
        <v>17226000000</v>
      </c>
      <c r="G36" s="32">
        <v>18292000000</v>
      </c>
      <c r="H36" s="32">
        <v>22940000000</v>
      </c>
      <c r="I36" s="21">
        <f>'Income Statement'!I6*Assumptions!I21</f>
        <v>24919784000</v>
      </c>
      <c r="J36" s="21">
        <f>'Income Statement'!J6*Assumptions!J21</f>
        <v>30900532160</v>
      </c>
      <c r="K36" s="21">
        <f>'Income Statement'!K6*Assumptions!K21</f>
        <v>38316659878.400002</v>
      </c>
      <c r="L36" s="21">
        <f>'Income Statement'!L6*Assumptions!L21</f>
        <v>47512658249.216003</v>
      </c>
    </row>
    <row r="37" spans="2:12" ht="15.6" x14ac:dyDescent="0.3">
      <c r="B37" s="8"/>
      <c r="C37" s="8" t="s">
        <v>106</v>
      </c>
      <c r="D37" s="8"/>
      <c r="E37" s="32">
        <v>9923000000</v>
      </c>
      <c r="F37" s="32">
        <v>18385000000</v>
      </c>
      <c r="G37" s="32">
        <v>28826000000</v>
      </c>
      <c r="H37" s="32">
        <v>58744000000</v>
      </c>
      <c r="I37" s="21">
        <f>H37+'Cash Flow Statement'!I39</f>
        <v>99994000000</v>
      </c>
      <c r="J37" s="21">
        <f>I37+'Cash Flow Statement'!J39</f>
        <v>136294000000</v>
      </c>
      <c r="K37" s="21">
        <f>J37+'Cash Flow Statement'!K39</f>
        <v>165994000000</v>
      </c>
      <c r="L37" s="21">
        <f>K37+'Cash Flow Statement'!L39</f>
        <v>195694000000</v>
      </c>
    </row>
    <row r="38" spans="2:12" ht="15.6" x14ac:dyDescent="0.3">
      <c r="B38" s="11" t="s">
        <v>83</v>
      </c>
      <c r="C38" s="11"/>
      <c r="D38" s="11"/>
      <c r="E38" s="23">
        <f>SUM(E34:E37,E25:E31)</f>
        <v>60014000000</v>
      </c>
      <c r="F38" s="23">
        <f>SUM(F34:F37,F25:F31)</f>
        <v>76455000000</v>
      </c>
      <c r="G38" s="23">
        <f>SUM(G34:G37,G25:G31)</f>
        <v>93417000000</v>
      </c>
      <c r="H38" s="23">
        <f>SUM(H34:H37,H25:H31)</f>
        <v>148778000000</v>
      </c>
      <c r="I38" s="23">
        <f t="shared" ref="I38:L38" ca="1" si="3">SUM(I34:I37,I25:I31)</f>
        <v>315741680608.95587</v>
      </c>
      <c r="J38" s="23">
        <f t="shared" ca="1" si="3"/>
        <v>390049842030.2052</v>
      </c>
      <c r="K38" s="23">
        <f t="shared" ca="1" si="3"/>
        <v>466982984643.43726</v>
      </c>
      <c r="L38" s="23">
        <f t="shared" ca="1" si="3"/>
        <v>561724652974.01929</v>
      </c>
    </row>
    <row r="39" spans="2:12" ht="15.6" x14ac:dyDescent="0.3">
      <c r="B39" s="8"/>
      <c r="C39" s="8"/>
      <c r="D39" s="8"/>
      <c r="E39" s="21"/>
      <c r="F39" s="21"/>
      <c r="G39" s="21"/>
      <c r="H39" s="21"/>
      <c r="I39" s="21"/>
      <c r="J39" s="21"/>
      <c r="K39" s="21"/>
      <c r="L39" s="21"/>
    </row>
    <row r="40" spans="2:12" ht="15.6" x14ac:dyDescent="0.3">
      <c r="B40" s="7" t="s">
        <v>82</v>
      </c>
      <c r="C40" s="8"/>
      <c r="D40" s="8"/>
      <c r="E40" s="21"/>
      <c r="F40" s="21"/>
      <c r="G40" s="21"/>
      <c r="H40" s="21"/>
      <c r="I40" s="21"/>
      <c r="J40" s="21"/>
      <c r="K40" s="21"/>
      <c r="L40" s="21"/>
    </row>
    <row r="41" spans="2:12" ht="15.6" x14ac:dyDescent="0.3">
      <c r="B41" s="8"/>
      <c r="C41" s="8" t="s">
        <v>81</v>
      </c>
      <c r="D41" s="8"/>
      <c r="E41" s="32">
        <v>64444000000</v>
      </c>
      <c r="F41" s="32">
        <v>73253000000</v>
      </c>
      <c r="G41" s="32">
        <v>83228000000</v>
      </c>
      <c r="H41" s="32">
        <v>95793000000</v>
      </c>
      <c r="I41" s="21">
        <f>'Income Statement'!I5*Assumptions!I17</f>
        <v>112139028000</v>
      </c>
      <c r="J41" s="21">
        <f>'Income Statement'!J5*Assumptions!J17</f>
        <v>139052394720</v>
      </c>
      <c r="K41" s="21">
        <f>'Income Statement'!K5*Assumptions!K17</f>
        <v>172424969452.80002</v>
      </c>
      <c r="L41" s="21">
        <f>'Income Statement'!L5*Assumptions!L17</f>
        <v>213806962121.47198</v>
      </c>
    </row>
    <row r="42" spans="2:12" ht="15.6" x14ac:dyDescent="0.3">
      <c r="B42" s="8"/>
      <c r="C42" s="8" t="s">
        <v>85</v>
      </c>
      <c r="D42" s="8"/>
      <c r="E42" s="32">
        <v>64799000000</v>
      </c>
      <c r="F42" s="32">
        <v>82070000000</v>
      </c>
      <c r="G42" s="32">
        <v>102506000000</v>
      </c>
      <c r="H42" s="32">
        <v>121179000000</v>
      </c>
      <c r="I42" s="21">
        <f ca="1">H42+'Income Statement'!I20-'Cash Flow Statement'!I41</f>
        <v>195288668817.56406</v>
      </c>
      <c r="J42" s="21">
        <f ca="1">I42+'Income Statement'!J20-'Cash Flow Statement'!J41</f>
        <v>288009579304.0697</v>
      </c>
      <c r="K42" s="21">
        <f ca="1">J42+'Income Statement'!K20-'Cash Flow Statement'!K41</f>
        <v>404340848016.21918</v>
      </c>
      <c r="L42" s="21">
        <f ca="1">K42+'Income Statement'!L20-'Cash Flow Statement'!L41</f>
        <v>550246797172.70459</v>
      </c>
    </row>
    <row r="43" spans="2:12" ht="15.6" x14ac:dyDescent="0.3">
      <c r="B43" s="8"/>
      <c r="C43" s="8" t="s">
        <v>84</v>
      </c>
      <c r="D43" s="8"/>
      <c r="E43" s="32">
        <v>-3530000000</v>
      </c>
      <c r="F43" s="32">
        <v>-2155000000</v>
      </c>
      <c r="G43" s="32">
        <v>-3097000000</v>
      </c>
      <c r="H43" s="32">
        <v>271000000</v>
      </c>
      <c r="I43" s="21">
        <v>271000000</v>
      </c>
      <c r="J43" s="21">
        <v>271000000</v>
      </c>
      <c r="K43" s="21">
        <v>271000000</v>
      </c>
      <c r="L43" s="21">
        <v>271000000</v>
      </c>
    </row>
    <row r="44" spans="2:12" ht="15.6" x14ac:dyDescent="0.3">
      <c r="B44" s="11" t="s">
        <v>87</v>
      </c>
      <c r="C44" s="11"/>
      <c r="D44" s="11"/>
      <c r="E44" s="23">
        <f>SUM(E41:E43)</f>
        <v>125713000000</v>
      </c>
      <c r="F44" s="23">
        <f t="shared" ref="F44:L44" si="4">SUM(F41:F43)</f>
        <v>153168000000</v>
      </c>
      <c r="G44" s="23">
        <f t="shared" si="4"/>
        <v>182637000000</v>
      </c>
      <c r="H44" s="23">
        <f t="shared" si="4"/>
        <v>217243000000</v>
      </c>
      <c r="I44" s="23">
        <f t="shared" ca="1" si="4"/>
        <v>307698696817.56409</v>
      </c>
      <c r="J44" s="23">
        <f t="shared" ca="1" si="4"/>
        <v>427332974024.0697</v>
      </c>
      <c r="K44" s="23">
        <f t="shared" ca="1" si="4"/>
        <v>577036817469.01917</v>
      </c>
      <c r="L44" s="23">
        <f t="shared" ca="1" si="4"/>
        <v>764324759294.17651</v>
      </c>
    </row>
    <row r="45" spans="2:12" ht="15.6" x14ac:dyDescent="0.3">
      <c r="B45" s="8"/>
      <c r="C45" s="8"/>
      <c r="D45" s="8"/>
      <c r="E45" s="21"/>
      <c r="F45" s="21"/>
      <c r="G45" s="21"/>
      <c r="H45" s="21"/>
      <c r="I45" s="21"/>
      <c r="J45" s="21"/>
      <c r="K45" s="21"/>
      <c r="L45" s="21"/>
    </row>
    <row r="46" spans="2:12" ht="15.6" x14ac:dyDescent="0.3">
      <c r="B46" s="13" t="s">
        <v>88</v>
      </c>
      <c r="C46" s="13"/>
      <c r="D46" s="13"/>
      <c r="E46" s="24">
        <f>SUM(E38,E44)</f>
        <v>185727000000</v>
      </c>
      <c r="F46" s="24">
        <f>SUM(F38,F44)</f>
        <v>229623000000</v>
      </c>
      <c r="G46" s="24">
        <f t="shared" ref="G46:L46" si="5">SUM(G38,G44)</f>
        <v>276054000000</v>
      </c>
      <c r="H46" s="24">
        <f t="shared" si="5"/>
        <v>366021000000</v>
      </c>
      <c r="I46" s="24">
        <f t="shared" ca="1" si="5"/>
        <v>623440377426.52002</v>
      </c>
      <c r="J46" s="24">
        <f t="shared" ca="1" si="5"/>
        <v>817382816054.2749</v>
      </c>
      <c r="K46" s="24">
        <f t="shared" ca="1" si="5"/>
        <v>1044019802112.4564</v>
      </c>
      <c r="L46" s="24">
        <f t="shared" ca="1" si="5"/>
        <v>1326049412268.1958</v>
      </c>
    </row>
  </sheetData>
  <mergeCells count="4">
    <mergeCell ref="E1:H1"/>
    <mergeCell ref="I1:L1"/>
    <mergeCell ref="A2:D2"/>
    <mergeCell ref="B1:D1"/>
  </mergeCells>
  <conditionalFormatting sqref="E3:L3">
    <cfRule type="cellIs" dxfId="1" priority="1" operator="equal">
      <formula>"Okay"</formula>
    </cfRule>
    <cfRule type="cellIs" dxfId="0" priority="3" operator="equal">
      <formula>"Not Okay"</formula>
    </cfRule>
  </conditionalFormatting>
  <hyperlinks>
    <hyperlink ref="B1:D1" location="Readme!A1" display="&lt;&lt; Back to home" xr:uid="{2526AE32-BE5A-4903-905D-2E2B23D184E1}"/>
  </hyperlink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08B9B-5357-4495-8912-C069770C54AB}">
  <dimension ref="A1:L16"/>
  <sheetViews>
    <sheetView showGridLines="0" zoomScale="90" zoomScaleNormal="90" workbookViewId="0">
      <pane ySplit="2" topLeftCell="A3" activePane="bottomLeft" state="frozen"/>
      <selection activeCell="D13" sqref="D13"/>
      <selection pane="bottomLeft" activeCell="C9" sqref="C9"/>
    </sheetView>
  </sheetViews>
  <sheetFormatPr defaultRowHeight="14.4" x14ac:dyDescent="0.3"/>
  <cols>
    <col min="1" max="1" width="1.88671875" customWidth="1"/>
    <col min="2" max="2" width="2.44140625" customWidth="1"/>
    <col min="3" max="4" width="16.77734375" customWidth="1"/>
    <col min="5" max="8" width="17.44140625" bestFit="1" customWidth="1"/>
    <col min="9" max="12" width="24.33203125" customWidth="1"/>
  </cols>
  <sheetData>
    <row r="1" spans="1:12" ht="21" customHeight="1" x14ac:dyDescent="0.4">
      <c r="A1" s="87"/>
      <c r="B1" s="119" t="s">
        <v>236</v>
      </c>
      <c r="C1" s="119"/>
      <c r="D1" s="119"/>
      <c r="E1" s="116" t="s">
        <v>1</v>
      </c>
      <c r="F1" s="116"/>
      <c r="G1" s="116"/>
      <c r="H1" s="116"/>
      <c r="I1" s="117" t="s">
        <v>2</v>
      </c>
      <c r="J1" s="117"/>
      <c r="K1" s="117"/>
      <c r="L1" s="117"/>
    </row>
    <row r="2" spans="1:12" ht="37.200000000000003" customHeight="1" x14ac:dyDescent="0.4">
      <c r="A2" s="118" t="s">
        <v>237</v>
      </c>
      <c r="B2" s="118"/>
      <c r="C2" s="118"/>
      <c r="D2" s="118"/>
      <c r="E2" s="4">
        <v>2022</v>
      </c>
      <c r="F2" s="4">
        <v>2023</v>
      </c>
      <c r="G2" s="4">
        <v>2024</v>
      </c>
      <c r="H2" s="4">
        <v>2025</v>
      </c>
      <c r="I2" s="3">
        <v>2026</v>
      </c>
      <c r="J2" s="3">
        <v>2027</v>
      </c>
      <c r="K2" s="3">
        <v>2028</v>
      </c>
      <c r="L2" s="3">
        <v>2029</v>
      </c>
    </row>
    <row r="5" spans="1:12" ht="15.6" x14ac:dyDescent="0.3">
      <c r="B5" s="7" t="s">
        <v>103</v>
      </c>
      <c r="C5" s="8"/>
      <c r="D5" s="8"/>
      <c r="E5" s="8"/>
      <c r="F5" s="8"/>
      <c r="G5" s="8"/>
      <c r="H5" s="8"/>
      <c r="I5" s="8"/>
      <c r="J5" s="8"/>
      <c r="K5" s="8"/>
      <c r="L5" s="8"/>
    </row>
    <row r="6" spans="1:12" ht="15.6" x14ac:dyDescent="0.3">
      <c r="B6" s="8"/>
      <c r="C6" s="8" t="s">
        <v>104</v>
      </c>
      <c r="D6" s="8"/>
      <c r="E6" s="20"/>
      <c r="F6" s="20">
        <f>E10</f>
        <v>9923000000</v>
      </c>
      <c r="G6" s="20">
        <f>F10</f>
        <v>18385000000</v>
      </c>
      <c r="H6" s="20">
        <f>G10</f>
        <v>28826000000</v>
      </c>
      <c r="I6" s="21">
        <f t="shared" ref="I6:L6" si="0">H10</f>
        <v>58744000000</v>
      </c>
      <c r="J6" s="21">
        <f t="shared" si="0"/>
        <v>99994000000</v>
      </c>
      <c r="K6" s="21">
        <f t="shared" si="0"/>
        <v>136294000000</v>
      </c>
      <c r="L6" s="21">
        <f t="shared" si="0"/>
        <v>165994000000</v>
      </c>
    </row>
    <row r="7" spans="1:12" ht="15.6" x14ac:dyDescent="0.3">
      <c r="B7" s="8"/>
      <c r="C7" s="8" t="s">
        <v>109</v>
      </c>
      <c r="D7" s="8"/>
      <c r="E7" s="20">
        <f>'Cash Flow Statement'!E39</f>
        <v>9921000000</v>
      </c>
      <c r="F7" s="20">
        <f>'Cash Flow Statement'!F39</f>
        <v>8455000000</v>
      </c>
      <c r="G7" s="20">
        <f>'Cash Flow Statement'!G39</f>
        <v>10432000000</v>
      </c>
      <c r="H7" s="20">
        <f>'Cash Flow Statement'!H39</f>
        <v>29906000000</v>
      </c>
      <c r="I7" s="21">
        <f>'Cash Flow Statement'!I39</f>
        <v>41250000000</v>
      </c>
      <c r="J7" s="21">
        <f>'Cash Flow Statement'!J39</f>
        <v>36300000000</v>
      </c>
      <c r="K7" s="21">
        <f>'Cash Flow Statement'!K39</f>
        <v>29700000000</v>
      </c>
      <c r="L7" s="21">
        <f>'Cash Flow Statement'!L39</f>
        <v>29700000000</v>
      </c>
    </row>
    <row r="8" spans="1:12" ht="15.6" x14ac:dyDescent="0.3">
      <c r="B8" s="8"/>
      <c r="C8" s="8" t="s">
        <v>110</v>
      </c>
      <c r="D8" s="8"/>
      <c r="E8" s="20">
        <f>'Cash Flow Statement'!E38</f>
        <v>-850000000</v>
      </c>
      <c r="F8" s="20">
        <f>'Cash Flow Statement'!F38</f>
        <v>-1058000000</v>
      </c>
      <c r="G8" s="20">
        <f>'Cash Flow Statement'!G38</f>
        <v>-1969000000</v>
      </c>
      <c r="H8" s="20">
        <f>'Cash Flow Statement'!H38</f>
        <v>-2524000000</v>
      </c>
      <c r="I8" s="21">
        <f>'Cash Flow Statement'!I38</f>
        <v>-5981200000</v>
      </c>
      <c r="J8" s="21">
        <f>'Cash Flow Statement'!J38</f>
        <v>-8250000000</v>
      </c>
      <c r="K8" s="21">
        <f>'Cash Flow Statement'!K38</f>
        <v>-7260000000</v>
      </c>
      <c r="L8" s="21">
        <f>'Cash Flow Statement'!L38</f>
        <v>-5940000000</v>
      </c>
    </row>
    <row r="9" spans="1:12" ht="15.6" x14ac:dyDescent="0.3">
      <c r="B9" s="8"/>
      <c r="C9" s="8" t="s">
        <v>111</v>
      </c>
      <c r="D9" s="8"/>
      <c r="E9" s="20">
        <f>'Balance Sheet'!E37-SUM('Supporting schedule'!E6:E8)</f>
        <v>852000000</v>
      </c>
      <c r="F9" s="20">
        <f>'Balance Sheet'!F37-SUM('Supporting schedule'!F6:F8)</f>
        <v>1065000000</v>
      </c>
      <c r="G9" s="20">
        <f>'Balance Sheet'!G37-SUM('Supporting schedule'!G6:G8)</f>
        <v>1978000000</v>
      </c>
      <c r="H9" s="20">
        <f>'Balance Sheet'!H37-SUM('Supporting schedule'!H6:H8)</f>
        <v>2536000000</v>
      </c>
      <c r="I9" s="21">
        <f>'Balance Sheet'!I37-SUM('Supporting schedule'!I6:I8)</f>
        <v>5981200000</v>
      </c>
      <c r="J9" s="21">
        <f>'Balance Sheet'!J37-SUM('Supporting schedule'!J6:J8)</f>
        <v>8250000000</v>
      </c>
      <c r="K9" s="21">
        <f>'Balance Sheet'!K37-SUM('Supporting schedule'!K6:K8)</f>
        <v>7260000000</v>
      </c>
      <c r="L9" s="21">
        <f>'Balance Sheet'!L37-SUM('Supporting schedule'!L6:L8)</f>
        <v>5940000000</v>
      </c>
    </row>
    <row r="10" spans="1:12" ht="15.6" x14ac:dyDescent="0.3">
      <c r="B10" s="8"/>
      <c r="C10" s="13" t="s">
        <v>105</v>
      </c>
      <c r="D10" s="13"/>
      <c r="E10" s="24">
        <f>'Balance Sheet'!E37</f>
        <v>9923000000</v>
      </c>
      <c r="F10" s="24">
        <f>SUM(F6:F9)</f>
        <v>18385000000</v>
      </c>
      <c r="G10" s="24">
        <f t="shared" ref="G10:H10" si="1">SUM(G6:G9)</f>
        <v>28826000000</v>
      </c>
      <c r="H10" s="24">
        <f t="shared" si="1"/>
        <v>58744000000</v>
      </c>
      <c r="I10" s="24">
        <f t="shared" ref="I10" si="2">SUM(I6:I9)</f>
        <v>99994000000</v>
      </c>
      <c r="J10" s="24">
        <f t="shared" ref="J10" si="3">SUM(J6:J9)</f>
        <v>136294000000</v>
      </c>
      <c r="K10" s="24">
        <f t="shared" ref="K10" si="4">SUM(K6:K9)</f>
        <v>165994000000</v>
      </c>
      <c r="L10" s="24">
        <f t="shared" ref="L10" si="5">SUM(L6:L9)</f>
        <v>195694000000</v>
      </c>
    </row>
    <row r="12" spans="1:12" x14ac:dyDescent="0.3">
      <c r="B12" s="1"/>
    </row>
    <row r="13" spans="1:12" x14ac:dyDescent="0.3">
      <c r="B13" s="1"/>
      <c r="F13" s="6"/>
    </row>
    <row r="16" spans="1:12" x14ac:dyDescent="0.3">
      <c r="F16" s="6"/>
      <c r="G16" s="6"/>
      <c r="H16" s="6"/>
      <c r="I16" s="6"/>
      <c r="J16" s="6"/>
      <c r="K16" s="6"/>
      <c r="L16" s="6"/>
    </row>
  </sheetData>
  <mergeCells count="4">
    <mergeCell ref="E1:H1"/>
    <mergeCell ref="I1:L1"/>
    <mergeCell ref="A2:D2"/>
    <mergeCell ref="B1:D1"/>
  </mergeCells>
  <hyperlinks>
    <hyperlink ref="B1:D1" location="Readme!A1" display="&lt;&lt; Back to home" xr:uid="{0F1AC73F-A185-4A58-AE42-85E697A43572}"/>
  </hyperlink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Readme</vt:lpstr>
      <vt:lpstr>Summary</vt:lpstr>
      <vt:lpstr>Valuation</vt:lpstr>
      <vt:lpstr>Assumptions</vt:lpstr>
      <vt:lpstr>Income Statement</vt:lpstr>
      <vt:lpstr>Cash Flow Statement</vt:lpstr>
      <vt:lpstr>Balance Sheet</vt:lpstr>
      <vt:lpstr>Supporting schedule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Ashish Jangra</dc:creator>
  <cp:lastModifiedBy>Ashish Jangra</cp:lastModifiedBy>
  <dcterms:created xsi:type="dcterms:W3CDTF">2015-06-05T18:17:20Z</dcterms:created>
  <dcterms:modified xsi:type="dcterms:W3CDTF">2026-02-07T12:47:37Z</dcterms:modified>
</cp:coreProperties>
</file>